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474295\Documents\"/>
    </mc:Choice>
  </mc:AlternateContent>
  <bookViews>
    <workbookView xWindow="360" yWindow="135" windowWidth="13395" windowHeight="5895" tabRatio="791" firstSheet="2" activeTab="6"/>
  </bookViews>
  <sheets>
    <sheet name="Summary" sheetId="1" r:id="rId1"/>
    <sheet name="SPC - Multi-tenant" sheetId="2" r:id="rId2"/>
    <sheet name="SPC - Single Tenant" sheetId="4" r:id="rId3"/>
    <sheet name="SPC - Test  Development" sheetId="3" r:id="rId4"/>
    <sheet name="Dedicated Private Cloud" sheetId="5" r:id="rId5"/>
    <sheet name="PaaS" sheetId="6" r:id="rId6"/>
    <sheet name="OSC-Circuit" sheetId="11" r:id="rId7"/>
    <sheet name="SaaS - Collaboration" sheetId="7" r:id="rId8"/>
    <sheet name="SaaS - BP" sheetId="8" r:id="rId9"/>
    <sheet name="SaaS - CRM" sheetId="9" r:id="rId10"/>
    <sheet name="SaaS - PLM" sheetId="10" r:id="rId11"/>
  </sheets>
  <calcPr calcId="171027"/>
</workbook>
</file>

<file path=xl/calcChain.xml><?xml version="1.0" encoding="utf-8"?>
<calcChain xmlns="http://schemas.openxmlformats.org/spreadsheetml/2006/main">
  <c r="D13" i="10" l="1"/>
  <c r="H10" i="10"/>
  <c r="G10" i="10"/>
  <c r="F10" i="10"/>
  <c r="E10" i="10"/>
  <c r="D10" i="10"/>
  <c r="H9" i="10"/>
  <c r="G9" i="10"/>
  <c r="F9" i="10"/>
  <c r="E9" i="10"/>
  <c r="D14" i="9"/>
  <c r="D11" i="9"/>
  <c r="D10" i="9"/>
  <c r="D9" i="9"/>
  <c r="D16" i="8"/>
  <c r="D15" i="8"/>
  <c r="D11" i="8"/>
  <c r="D10" i="8"/>
  <c r="D9" i="8"/>
  <c r="D32" i="7"/>
  <c r="D33" i="7"/>
  <c r="D17" i="7"/>
  <c r="D16" i="7"/>
  <c r="D29" i="7"/>
  <c r="D28" i="7"/>
  <c r="D27" i="7"/>
  <c r="D26" i="7"/>
  <c r="D25" i="7"/>
  <c r="D13" i="7"/>
  <c r="D12" i="7"/>
  <c r="D11" i="7"/>
  <c r="D10" i="7"/>
  <c r="D9" i="7"/>
  <c r="K10" i="6"/>
  <c r="J10" i="6"/>
  <c r="D33" i="6"/>
  <c r="D32" i="6"/>
  <c r="D31" i="6"/>
  <c r="D30" i="6"/>
  <c r="D29" i="6"/>
  <c r="D25" i="6"/>
  <c r="D17" i="6"/>
  <c r="D16" i="6"/>
  <c r="D15" i="6"/>
  <c r="D14" i="6"/>
  <c r="D13" i="6"/>
  <c r="D9" i="6"/>
  <c r="D80" i="5"/>
  <c r="D79" i="5"/>
  <c r="D78" i="5"/>
  <c r="D77" i="5"/>
  <c r="D76" i="5"/>
  <c r="D75" i="5"/>
  <c r="D74" i="5"/>
  <c r="D73" i="5"/>
  <c r="D72" i="5"/>
  <c r="D71" i="5"/>
  <c r="D70" i="5"/>
  <c r="D69" i="5"/>
  <c r="D88" i="5"/>
  <c r="D87" i="5"/>
  <c r="D68" i="5"/>
  <c r="D67" i="5"/>
  <c r="D66" i="5"/>
  <c r="D65" i="5"/>
  <c r="D64" i="5"/>
  <c r="D63" i="5"/>
  <c r="D62" i="5"/>
  <c r="D61" i="5"/>
  <c r="D54" i="5"/>
  <c r="D53" i="5"/>
  <c r="D46" i="5"/>
  <c r="D45" i="5"/>
  <c r="D44" i="5"/>
  <c r="D43" i="5"/>
  <c r="D42" i="5"/>
  <c r="D41" i="5"/>
  <c r="D40" i="5"/>
  <c r="D39" i="5"/>
  <c r="D38" i="5"/>
  <c r="D37" i="5"/>
  <c r="D36" i="5"/>
  <c r="D35" i="5"/>
  <c r="D28" i="5"/>
  <c r="D27" i="5"/>
  <c r="D26" i="5"/>
  <c r="L41" i="5"/>
  <c r="K41" i="5"/>
  <c r="J41" i="5"/>
  <c r="I41" i="5"/>
  <c r="L40" i="5"/>
  <c r="K40" i="5"/>
  <c r="J40" i="5"/>
  <c r="I40" i="5"/>
  <c r="I32" i="5"/>
  <c r="I31" i="5"/>
  <c r="J31" i="5"/>
  <c r="J30" i="5"/>
  <c r="I30" i="5"/>
  <c r="D18" i="5"/>
  <c r="L23" i="5"/>
  <c r="K23" i="5"/>
  <c r="J23" i="5"/>
  <c r="I23" i="5"/>
  <c r="L22" i="5"/>
  <c r="K22" i="5"/>
  <c r="J22" i="5"/>
  <c r="I22" i="5"/>
  <c r="L20" i="5"/>
  <c r="K20" i="5"/>
  <c r="J20" i="5"/>
  <c r="I20" i="5"/>
  <c r="L19" i="5"/>
  <c r="K19" i="5"/>
  <c r="J19" i="5"/>
  <c r="I19" i="5"/>
  <c r="D11" i="5" l="1"/>
  <c r="D10" i="5"/>
  <c r="D9" i="5"/>
  <c r="D8" i="5"/>
</calcChain>
</file>

<file path=xl/sharedStrings.xml><?xml version="1.0" encoding="utf-8"?>
<sst xmlns="http://schemas.openxmlformats.org/spreadsheetml/2006/main" count="516" uniqueCount="317">
  <si>
    <t>Atos Cloud Services</t>
  </si>
  <si>
    <t>Atos Cloud Services Nomenclature</t>
  </si>
  <si>
    <t>Atos \ Canopy Nomenclature</t>
  </si>
  <si>
    <t>CIS Multi-tenant</t>
  </si>
  <si>
    <t>Shared Private Cloud (SPC) - Multi-tenant</t>
  </si>
  <si>
    <t>Service Model</t>
  </si>
  <si>
    <t>IaaS</t>
  </si>
  <si>
    <t>Service Item</t>
  </si>
  <si>
    <t>Designation of Quantity</t>
  </si>
  <si>
    <t>Price per Month ($)</t>
  </si>
  <si>
    <t>vCPU of a virtual server</t>
  </si>
  <si>
    <t>per vCPU</t>
  </si>
  <si>
    <t>vMEM of a virtual Linux server</t>
  </si>
  <si>
    <t>per GB</t>
  </si>
  <si>
    <t>vMEM of a virtual Windows server</t>
  </si>
  <si>
    <t>Service fee for a Linux virtual server</t>
  </si>
  <si>
    <t>per OS</t>
  </si>
  <si>
    <t>Service fee for a Windows virtual server</t>
  </si>
  <si>
    <t>Virtual Compute</t>
  </si>
  <si>
    <t>Backup</t>
  </si>
  <si>
    <t>Active - Less than 45 days retention</t>
  </si>
  <si>
    <t>per retained GB</t>
  </si>
  <si>
    <t>Archive - More than 45 days retention</t>
  </si>
  <si>
    <t>Security</t>
  </si>
  <si>
    <t>Security Zones - SSN, DMZ, HSN</t>
  </si>
  <si>
    <t>per Zone</t>
  </si>
  <si>
    <t>VLAN</t>
  </si>
  <si>
    <t>per VLAN</t>
  </si>
  <si>
    <t>Network load Balancing</t>
  </si>
  <si>
    <t>per redundant load balancer</t>
  </si>
  <si>
    <t>Additional Context</t>
  </si>
  <si>
    <t>per Context</t>
  </si>
  <si>
    <t>Storage</t>
  </si>
  <si>
    <t>Storage (SAN)</t>
  </si>
  <si>
    <t>Platinum</t>
  </si>
  <si>
    <t>Gold</t>
  </si>
  <si>
    <t>Silver</t>
  </si>
  <si>
    <t>Bronze</t>
  </si>
  <si>
    <t>Storage (NAS)</t>
  </si>
  <si>
    <t>Connectivity</t>
  </si>
  <si>
    <t>Inbound access via Internet - for Management purposes only</t>
  </si>
  <si>
    <t>Bandwidth - per Mbps</t>
  </si>
  <si>
    <t>Key Users - per User</t>
  </si>
  <si>
    <t>Outbound access via Internet - for Management purposes only</t>
  </si>
  <si>
    <t>Shared Private Cloud (SPC) - Single Tenant</t>
  </si>
  <si>
    <t>CIS Single Tenant</t>
  </si>
  <si>
    <t>Single Tenant Environment Fee</t>
  </si>
  <si>
    <t>per Environment</t>
  </si>
  <si>
    <t>vMEM of a virtual server</t>
  </si>
  <si>
    <t>Physical Compute</t>
  </si>
  <si>
    <t>Full Blade - Medium - Linux</t>
  </si>
  <si>
    <t>Full Blade - Medium - Windows</t>
  </si>
  <si>
    <t>Full Blade - Large - Linux</t>
  </si>
  <si>
    <t>Full Blade - Large - Windows</t>
  </si>
  <si>
    <t>Full Blade - Extra Large - Linux</t>
  </si>
  <si>
    <t>Full Blade - Extra Large - Windows</t>
  </si>
  <si>
    <t>Full Blade - Extra Extra Large - Linux</t>
  </si>
  <si>
    <t>Full Blade - Extra Extra Large - Windows</t>
  </si>
  <si>
    <t>per Blade</t>
  </si>
  <si>
    <t>Shared Private Cloud (SPC) - Test \ Development</t>
  </si>
  <si>
    <t>TAI</t>
  </si>
  <si>
    <t>Price per Hour ($)</t>
  </si>
  <si>
    <t>Basic - Pay as you go - Price per Hour</t>
  </si>
  <si>
    <t>Windows License</t>
  </si>
  <si>
    <t>Gold Storage</t>
  </si>
  <si>
    <t>Silver Storage</t>
  </si>
  <si>
    <t>Gold Storage including Backup (14 days retention)</t>
  </si>
  <si>
    <t>Silver Storage including Backup (14 days retention)</t>
  </si>
  <si>
    <t>Linux Support License</t>
  </si>
  <si>
    <t>Committed - Monthly Fee</t>
  </si>
  <si>
    <t>Standard Packages</t>
  </si>
  <si>
    <t>CPU Limit</t>
  </si>
  <si>
    <t>Memory Limit</t>
  </si>
  <si>
    <t>XS</t>
  </si>
  <si>
    <t>S</t>
  </si>
  <si>
    <t>M</t>
  </si>
  <si>
    <t>L</t>
  </si>
  <si>
    <t>XS with DR</t>
  </si>
  <si>
    <t>S with DR</t>
  </si>
  <si>
    <t>M with DR</t>
  </si>
  <si>
    <t>L with DR</t>
  </si>
  <si>
    <t>10 GHz</t>
  </si>
  <si>
    <t>25 GHz</t>
  </si>
  <si>
    <t>50 GHz</t>
  </si>
  <si>
    <t>100 GHz</t>
  </si>
  <si>
    <t>2 x 10 GHz</t>
  </si>
  <si>
    <t>2 x 25 GHz</t>
  </si>
  <si>
    <t>2 x 50 GHz</t>
  </si>
  <si>
    <t>2 x 100 GHz</t>
  </si>
  <si>
    <t>20 GB</t>
  </si>
  <si>
    <t>50 GB</t>
  </si>
  <si>
    <t>100 GB</t>
  </si>
  <si>
    <t>200 GB</t>
  </si>
  <si>
    <t>2 x 20 GB</t>
  </si>
  <si>
    <t>2 x 50 GB</t>
  </si>
  <si>
    <t>2 x 100 GB</t>
  </si>
  <si>
    <t>2 x 200 GB</t>
  </si>
  <si>
    <t>Compute Expansion Packages</t>
  </si>
  <si>
    <t>Package</t>
  </si>
  <si>
    <t>Expansion A</t>
  </si>
  <si>
    <t>Expansion B</t>
  </si>
  <si>
    <t>Expansion A with DR</t>
  </si>
  <si>
    <t>Expansion B with DR</t>
  </si>
  <si>
    <t>10 GB</t>
  </si>
  <si>
    <t>2 x 10 GB</t>
  </si>
  <si>
    <t>Storage Expansion Packages</t>
  </si>
  <si>
    <t>250 GB Storage (Primary or DR Site)</t>
  </si>
  <si>
    <t>251 GB Storage including Backup (Primary or DR Site)</t>
  </si>
  <si>
    <t>Licenses</t>
  </si>
  <si>
    <t>License</t>
  </si>
  <si>
    <t xml:space="preserve">Price per VM per Month ($) </t>
  </si>
  <si>
    <t>Windows Server License</t>
  </si>
  <si>
    <t>Linux Support</t>
  </si>
  <si>
    <t>Included</t>
  </si>
  <si>
    <t>Additional Packages</t>
  </si>
  <si>
    <t>Secured Datacenter Network Zone</t>
  </si>
  <si>
    <t>Virtual Security Zone (10 Subnets included)</t>
  </si>
  <si>
    <t>Internet Connectivity</t>
  </si>
  <si>
    <t>per Transferred GB</t>
  </si>
  <si>
    <t>Public IP v4 Address</t>
  </si>
  <si>
    <t>per Reserved IP</t>
  </si>
  <si>
    <t>Virus Scanning</t>
  </si>
  <si>
    <t>Support Packages</t>
  </si>
  <si>
    <t>Advanced Support</t>
  </si>
  <si>
    <t>Limited to 10 Tickets per Month</t>
  </si>
  <si>
    <t>Limited to 25 Hours</t>
  </si>
  <si>
    <t>Onboarding Support</t>
  </si>
  <si>
    <t>Dedicated Private Cloud</t>
  </si>
  <si>
    <t>EPC</t>
  </si>
  <si>
    <t>Environment Management (vBlock)</t>
  </si>
  <si>
    <t>Price (per vBlock per Month)($)</t>
  </si>
  <si>
    <t>vBlock Management - Includes 10 blades and 100TB, vBlock Matrix upgrades, vRA Portal Automation, vCloud Director Portal Management of 150 VMs and Backup Management.</t>
  </si>
  <si>
    <t>Additional Storage (TB) - 100TB included, no charge beyond 400TB</t>
  </si>
  <si>
    <t>Additional Blade - 10 Blades included, no charge beyond 30 blades</t>
  </si>
  <si>
    <t>Additional vCloud Director VMs - 150 VMs included, no charge after 650 VMs</t>
  </si>
  <si>
    <t>Virtual OS Management</t>
  </si>
  <si>
    <t>&gt;50</t>
  </si>
  <si>
    <t>&gt;150</t>
  </si>
  <si>
    <t>&gt;300</t>
  </si>
  <si>
    <t>&gt;500</t>
  </si>
  <si>
    <t>Price per OS per Month ($)</t>
  </si>
  <si>
    <t>Fully Managed OS</t>
  </si>
  <si>
    <t>Semi-managed OS</t>
  </si>
  <si>
    <t>Self-managed OS</t>
  </si>
  <si>
    <t>Self-managed vDC virtual Malware option</t>
  </si>
  <si>
    <t>No Charge</t>
  </si>
  <si>
    <t>Backup Management</t>
  </si>
  <si>
    <t>Price (per TB per Month)($)</t>
  </si>
  <si>
    <t>Additional TB - 360TB included, no charge beyond 1080TB</t>
  </si>
  <si>
    <t>Physical OS Management</t>
  </si>
  <si>
    <t>Fully Managed OS Compliancy Reporting</t>
  </si>
  <si>
    <t>Set up</t>
  </si>
  <si>
    <t>Price (One-off) ($)</t>
  </si>
  <si>
    <t>DR Management or Continuous Operations</t>
  </si>
  <si>
    <t>Per Protected VMs</t>
  </si>
  <si>
    <t>Per Protected TB</t>
  </si>
  <si>
    <t>External Storage Management</t>
  </si>
  <si>
    <t>External Storage Management (250TB and 24 SAN Ports included)</t>
  </si>
  <si>
    <t>Additional TB - per TB</t>
  </si>
  <si>
    <t>Additional SAN Ports - per Port</t>
  </si>
  <si>
    <t>Malware Licenses - per License</t>
  </si>
  <si>
    <t>Microsoft SPLA Management Blades OS Licenses - Per Management Blade</t>
  </si>
  <si>
    <t>Microsoft SPLA Management Blades SQL Licenses - 12 Licenses per Management Environment</t>
  </si>
  <si>
    <t>VMware vCenter License - Per vCenter</t>
  </si>
  <si>
    <t>VMware vCenter Hyperic License - Per Physical Server</t>
  </si>
  <si>
    <t>VMware vCloud Automation Center License - Per Physical Server</t>
  </si>
  <si>
    <t>Microsoft SPLA ESX Blades OS Licenses - Per ESX Blade</t>
  </si>
  <si>
    <t>Microsoft SPLA Physical Blades OS Licenses - Per Physical Blade</t>
  </si>
  <si>
    <t>External Storage ViPR License - Per TB</t>
  </si>
  <si>
    <t>RedHat Management Blades OS Licenses - 3 Licenses per Management Environment</t>
  </si>
  <si>
    <t>VMware vCloud Suite - Per Blade Installed</t>
  </si>
  <si>
    <t>VMware vSphere Licenses - Per Management Server</t>
  </si>
  <si>
    <t>Support</t>
  </si>
  <si>
    <t>Price per ($)</t>
  </si>
  <si>
    <t>Support Call - Per Support Call</t>
  </si>
  <si>
    <t>Customer Setup - One-time Setup Charge per Customer</t>
  </si>
  <si>
    <t>Hosting Services - Atos Data Center</t>
  </si>
  <si>
    <t>Option 1 - VPN Access Module - Per Month</t>
  </si>
  <si>
    <t>Option 1 - VPN Access Module Installation - Per vBlock (one-time)</t>
  </si>
  <si>
    <t>Option 1 VPN Access Module Usage - Per Mbps per Month</t>
  </si>
  <si>
    <t>Option 2 - VPN Access Module - Per Month</t>
  </si>
  <si>
    <t>Option 2 - VPN Access Module Installation - Per vBlock (one-time)</t>
  </si>
  <si>
    <t>Option 2 VPN Access Module Usage - Per 10Gbps Port per Month</t>
  </si>
  <si>
    <t>Network Security Zone - Per Zone per Month</t>
  </si>
  <si>
    <t>Network Security Zone Setup - Per Zone (one-time)</t>
  </si>
  <si>
    <t>Hosting Services - Customer Data Center</t>
  </si>
  <si>
    <t>Access Module - Per Location per Month</t>
  </si>
  <si>
    <t>Access Module Installation - Per Location per Month</t>
  </si>
  <si>
    <t>Single Site - Housing Single Site - Per vBlock per Month</t>
  </si>
  <si>
    <t>Single Site - Housing Single Site Installation - Per vBlock (one-time)</t>
  </si>
  <si>
    <t>Twin Site - Housing Twin Site - Per vBlock per Month</t>
  </si>
  <si>
    <t>Twin Site - Housing Twin Site Installation - Per vBlock (one-time)</t>
  </si>
  <si>
    <t>Remote Site - Housing Remote Site - Per vBlock per Month</t>
  </si>
  <si>
    <t>Remote Site - Housing Remote Site Installation - Per vBlock (one-time)</t>
  </si>
  <si>
    <t>Blade Housing - Per Chassis per Month</t>
  </si>
  <si>
    <t>Storage Housing Per 32TD Expansion per Month</t>
  </si>
  <si>
    <t>Backup Housing - Per Backup Site per Month</t>
  </si>
  <si>
    <t>Backup Storage Housing - Per 32TB Expansion per Month</t>
  </si>
  <si>
    <t>External Storage Housing - Per VNX per Month</t>
  </si>
  <si>
    <t>Additional External Storage - Per TB per Month</t>
  </si>
  <si>
    <t>Virtualization \ Provisioning of Legacy Applications \ Workloads</t>
  </si>
  <si>
    <t>Compose</t>
  </si>
  <si>
    <t>PaaS</t>
  </si>
  <si>
    <t>Provisioning of Cloud Ready Applications \ Workloads</t>
  </si>
  <si>
    <t>Cloud Fabric</t>
  </si>
  <si>
    <t>Platform as a Service (PaaS)</t>
  </si>
  <si>
    <t>Virtualization \ Provisioning of Legacy Applications \ Workloads - Hourly Model</t>
  </si>
  <si>
    <t>Platform Fee - Including up to 50,000 Node Hours per Month</t>
  </si>
  <si>
    <t>Node Hours per Month</t>
  </si>
  <si>
    <t>Price per Node per Hour ($)</t>
  </si>
  <si>
    <t>0 - 50,000</t>
  </si>
  <si>
    <t>50,001 - 100,000</t>
  </si>
  <si>
    <t>100,001 - 200,000</t>
  </si>
  <si>
    <t>200,001 - 400,000</t>
  </si>
  <si>
    <t>400,001 - 750,000</t>
  </si>
  <si>
    <t xml:space="preserve">750,001 - </t>
  </si>
  <si>
    <t>Virtualization \ Provisioning of Legacy Applications \ Workloads - Monthly Model</t>
  </si>
  <si>
    <t>Platform Fee - Including up to 150 Node Deployments per Month</t>
  </si>
  <si>
    <t>Price per Node per Month ($)</t>
  </si>
  <si>
    <t>Node Deployments per Month</t>
  </si>
  <si>
    <t>0 - 150</t>
  </si>
  <si>
    <t>251 - 500</t>
  </si>
  <si>
    <t>151 - 250</t>
  </si>
  <si>
    <t>501 - 1000</t>
  </si>
  <si>
    <t>1001 - 10,000</t>
  </si>
  <si>
    <t xml:space="preserve">10,001 - </t>
  </si>
  <si>
    <t>First Installed Instance</t>
  </si>
  <si>
    <t>Instance 2+</t>
  </si>
  <si>
    <t>Per Service Instance</t>
  </si>
  <si>
    <t>SaaS</t>
  </si>
  <si>
    <t>Collaboration SaaS Offering</t>
  </si>
  <si>
    <t>Anytime Communication &amp; Collaboration</t>
  </si>
  <si>
    <t>Software as a Service (SaaS)</t>
  </si>
  <si>
    <t>Price per User per Month ($)</t>
  </si>
  <si>
    <t>Communication &amp; Collaboration Services - 1000 - 5000 Users</t>
  </si>
  <si>
    <t>Messaging - Full Client &amp; Web Messaging</t>
  </si>
  <si>
    <t>Communication - Web-based IM</t>
  </si>
  <si>
    <t>Communication - Unified Communications</t>
  </si>
  <si>
    <t>Communication - Volume Conferencing</t>
  </si>
  <si>
    <t>Collaboration - Basic SharePoint Sites</t>
  </si>
  <si>
    <t>Communication &amp; Collaboration Services - 5000+ Users</t>
  </si>
  <si>
    <t>Storage Extension - Per GB</t>
  </si>
  <si>
    <t>Public Folder (1GB)</t>
  </si>
  <si>
    <t>Anytime Files</t>
  </si>
  <si>
    <t>Business Productivity (BP) SaaS Offering</t>
  </si>
  <si>
    <t>Secure File Synchronization and Sharing</t>
  </si>
  <si>
    <t>Secure File - Amazon Storage - 100+ Users</t>
  </si>
  <si>
    <t>Secure File - Atos Storage (1GB of Storage per User) - 1000+ Users</t>
  </si>
  <si>
    <t>Secure File - Atos Storage (1GB of Storage per User) - 5000+ Users</t>
  </si>
  <si>
    <t>Additional Storage (per GB) - Amazon Storage</t>
  </si>
  <si>
    <t>Additional Storage - Atos Storage - Per TB aggregated per Customer</t>
  </si>
  <si>
    <t>Advanced Setup &amp; AD Integration with SSO</t>
  </si>
  <si>
    <t>Time &amp; Materials</t>
  </si>
  <si>
    <t>Customer Relationship Management (CRM) SaaS Offering</t>
  </si>
  <si>
    <t>CRM</t>
  </si>
  <si>
    <t>Product Lifecycle Management (PLM) SaaS Offering</t>
  </si>
  <si>
    <t>PLM</t>
  </si>
  <si>
    <t>CRM Powered by Microsoft Dynamics - Basic Service</t>
  </si>
  <si>
    <t>SLA "Silver", Microsoft Dynamics version 2013</t>
  </si>
  <si>
    <t>SLA "Silver", Microsoft Dynamics version 2011</t>
  </si>
  <si>
    <t>SLA "Gold", Microsoft Dynamics version 2013</t>
  </si>
  <si>
    <t>Price per GB per Month ($)</t>
  </si>
  <si>
    <t>PLM Powered by Siemens Teamcenter - Silver SLA</t>
  </si>
  <si>
    <t>Base Package (includes 50 users</t>
  </si>
  <si>
    <t>51 - 250</t>
  </si>
  <si>
    <t>1000+</t>
  </si>
  <si>
    <t>User Type</t>
  </si>
  <si>
    <t>Consumer</t>
  </si>
  <si>
    <t>Author</t>
  </si>
  <si>
    <t>N\A</t>
  </si>
  <si>
    <t>Price per TB per Month ($)</t>
  </si>
  <si>
    <t>Additional Storage</t>
  </si>
  <si>
    <t>Note: Pricing data are estimates and could be reduced based on volumes.</t>
  </si>
  <si>
    <t>Non Recurring Costs</t>
  </si>
  <si>
    <t>Item Description</t>
  </si>
  <si>
    <t>NG911 Core SaaS</t>
  </si>
  <si>
    <t>NG911 CC &amp; AD Telephony SaaS</t>
  </si>
  <si>
    <t>NG911 Call Handling SaaS</t>
  </si>
  <si>
    <t>NGCS SaaS</t>
  </si>
  <si>
    <t>Professional Services</t>
  </si>
  <si>
    <t>Recurring Costs</t>
  </si>
  <si>
    <t>NGCS MS SaaS</t>
  </si>
  <si>
    <t>Atos Public Safety Unit Pricing Model</t>
  </si>
  <si>
    <t>List Unit Price</t>
  </si>
  <si>
    <t>20% Discounted Unit Price</t>
  </si>
  <si>
    <t xml:space="preserve">Open Scape Cloud &amp; Circuit </t>
  </si>
  <si>
    <t>Material code</t>
  </si>
  <si>
    <t>Description</t>
  </si>
  <si>
    <t xml:space="preserve">List Price </t>
  </si>
  <si>
    <t>20% Discount</t>
  </si>
  <si>
    <t>L30280-A622-B201</t>
  </si>
  <si>
    <t>Circuit Enterprise Package Price Quantity Scale 1</t>
  </si>
  <si>
    <t>L30280-A622-B202</t>
  </si>
  <si>
    <t>Circuit Enterprise Package Price Quantity Scale 2</t>
  </si>
  <si>
    <t>L30280-A622-B203</t>
  </si>
  <si>
    <t>Circuit Enterprise Package Price Quantity Scale 3</t>
  </si>
  <si>
    <t>L30280-A622-B204</t>
  </si>
  <si>
    <t>Circuit Enterprise Package Price Quantity Scale 4</t>
  </si>
  <si>
    <t>L30280-A622-B205</t>
  </si>
  <si>
    <t>Circuit Enterprise Package Price Quantity Scale 5</t>
  </si>
  <si>
    <t>L30280-A622-B207</t>
  </si>
  <si>
    <t>Circuit Professional Package</t>
  </si>
  <si>
    <t>L30280-A622-B206</t>
  </si>
  <si>
    <t>Circuit Team Package</t>
  </si>
  <si>
    <t xml:space="preserve">OSC Bundle </t>
  </si>
  <si>
    <t xml:space="preserve">OSC License with SIP only List  </t>
  </si>
  <si>
    <t xml:space="preserve">OSC License with SIP only W 20% Discount   </t>
  </si>
  <si>
    <t xml:space="preserve">OSC W/ SIP &amp; CP200 list </t>
  </si>
  <si>
    <t>OSC W/ SIP&amp;CP200 W 20%/Discount</t>
  </si>
  <si>
    <t xml:space="preserve">OSC W/ SIP &amp; CP400 List  </t>
  </si>
  <si>
    <t>OSC W/ SIP &amp; CP400 W 20% discount</t>
  </si>
  <si>
    <t xml:space="preserve">OSC W/ SIP &amp; CP600 list </t>
  </si>
  <si>
    <t>OSC W 20% / SIP &amp; CP600</t>
  </si>
  <si>
    <t>Essential</t>
  </si>
  <si>
    <t>Team</t>
  </si>
  <si>
    <t>Professional</t>
  </si>
  <si>
    <t>Enterprise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</si>
</sst>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164" formatCode="#,##0.0000"/>
    <numFmt numFmtId="165" formatCode="#,##0.000"/>
    <numFmt numFmtId="166" formatCode="0.00000"/>
  </numFmts>
  <fonts count="7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16"/>
      <color theme="1"/>
      <name val="Arial"/>
      <family val="2"/>
    </font>
    <font>
      <b/>
      <sz val="20"/>
      <color rgb="FF0070C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44" fontId="4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</cellStyleXfs>
  <cellXfs count="8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4" fontId="0" fillId="2" borderId="0" xfId="0" applyNumberForma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2" borderId="0" xfId="0" applyFill="1"/>
    <xf numFmtId="4" fontId="0" fillId="2" borderId="0" xfId="0" applyNumberFormat="1" applyFill="1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horizontal="center" vertical="center"/>
    </xf>
    <xf numFmtId="0" fontId="0" fillId="0" borderId="5" xfId="0" applyBorder="1"/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165" fontId="0" fillId="0" borderId="0" xfId="0" applyNumberFormat="1" applyBorder="1" applyAlignment="1">
      <alignment horizontal="center" vertical="center"/>
    </xf>
    <xf numFmtId="166" fontId="0" fillId="0" borderId="0" xfId="0" applyNumberFormat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1" fillId="2" borderId="0" xfId="0" applyFont="1" applyFill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4" fontId="0" fillId="0" borderId="0" xfId="0" applyNumberFormat="1" applyBorder="1" applyAlignment="1">
      <alignment horizontal="center"/>
    </xf>
    <xf numFmtId="4" fontId="0" fillId="0" borderId="0" xfId="0" applyNumberFormat="1" applyBorder="1" applyAlignment="1">
      <alignment horizontal="center" vertical="center"/>
    </xf>
    <xf numFmtId="0" fontId="0" fillId="2" borderId="0" xfId="0" applyFill="1" applyBorder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wrapText="1"/>
    </xf>
    <xf numFmtId="2" fontId="0" fillId="0" borderId="0" xfId="0" applyNumberFormat="1" applyBorder="1" applyAlignment="1">
      <alignment horizontal="center" vertical="center"/>
    </xf>
    <xf numFmtId="2" fontId="0" fillId="2" borderId="0" xfId="0" applyNumberFormat="1" applyFill="1" applyBorder="1" applyAlignment="1">
      <alignment horizontal="center" vertical="center"/>
    </xf>
    <xf numFmtId="0" fontId="0" fillId="0" borderId="0" xfId="0" applyFill="1" applyBorder="1"/>
    <xf numFmtId="3" fontId="0" fillId="0" borderId="0" xfId="0" applyNumberFormat="1" applyBorder="1"/>
    <xf numFmtId="0" fontId="1" fillId="0" borderId="0" xfId="0" applyFont="1" applyBorder="1"/>
    <xf numFmtId="0" fontId="1" fillId="0" borderId="5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4" fontId="0" fillId="0" borderId="0" xfId="0" applyNumberFormat="1" applyFont="1" applyBorder="1" applyAlignment="1">
      <alignment horizontal="center" vertical="center"/>
    </xf>
    <xf numFmtId="4" fontId="0" fillId="0" borderId="7" xfId="0" applyNumberFormat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1" fillId="0" borderId="0" xfId="0" applyFont="1"/>
    <xf numFmtId="0" fontId="0" fillId="0" borderId="0" xfId="0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0" fillId="0" borderId="4" xfId="0" applyFill="1" applyBorder="1" applyAlignment="1">
      <alignment horizontal="left" wrapText="1"/>
    </xf>
    <xf numFmtId="44" fontId="0" fillId="0" borderId="0" xfId="2" applyFont="1" applyFill="1" applyBorder="1" applyAlignment="1">
      <alignment horizontal="left" wrapText="1"/>
    </xf>
    <xf numFmtId="44" fontId="0" fillId="0" borderId="0" xfId="2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1" fillId="0" borderId="4" xfId="0" applyFont="1" applyFill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44" fontId="0" fillId="0" borderId="0" xfId="2" applyFont="1" applyBorder="1" applyAlignment="1">
      <alignment horizontal="center" wrapText="1"/>
    </xf>
    <xf numFmtId="0" fontId="0" fillId="0" borderId="4" xfId="0" applyFill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6" xfId="0" applyFill="1" applyBorder="1" applyAlignment="1">
      <alignment horizontal="center" wrapText="1"/>
    </xf>
    <xf numFmtId="44" fontId="0" fillId="0" borderId="7" xfId="2" applyFont="1" applyFill="1" applyBorder="1" applyAlignment="1">
      <alignment horizontal="left" wrapText="1"/>
    </xf>
    <xf numFmtId="44" fontId="0" fillId="0" borderId="7" xfId="2" applyFont="1" applyBorder="1" applyAlignment="1">
      <alignment horizontal="center" wrapText="1"/>
    </xf>
    <xf numFmtId="8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3" xfId="0" applyFont="1" applyFill="1" applyBorder="1" applyAlignment="1">
      <alignment horizontal="center" wrapText="1"/>
    </xf>
    <xf numFmtId="0" fontId="1" fillId="0" borderId="14" xfId="0" applyFont="1" applyFill="1" applyBorder="1" applyAlignment="1">
      <alignment horizontal="center" wrapText="1"/>
    </xf>
    <xf numFmtId="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vertical="center"/>
    </xf>
    <xf numFmtId="165" fontId="0" fillId="0" borderId="0" xfId="0" applyNumberFormat="1" applyBorder="1" applyAlignment="1">
      <alignment horizontal="center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</cellXfs>
  <cellStyles count="5">
    <cellStyle name="Currency" xfId="2" builtinId="4"/>
    <cellStyle name="Explanatory Text 2" xfId="4"/>
    <cellStyle name="Normal" xfId="0" builtinId="0"/>
    <cellStyle name="Normal 2" xfId="3"/>
    <cellStyle name="Normal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</xdr:row>
      <xdr:rowOff>0</xdr:rowOff>
    </xdr:from>
    <xdr:to>
      <xdr:col>4</xdr:col>
      <xdr:colOff>1379942</xdr:colOff>
      <xdr:row>56</xdr:row>
      <xdr:rowOff>8775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89C5870-B7D1-460D-8CBE-24316B33A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619500"/>
          <a:ext cx="9466667" cy="60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8"/>
  <sheetViews>
    <sheetView workbookViewId="0">
      <selection activeCell="C3" sqref="C3:E3"/>
    </sheetView>
  </sheetViews>
  <sheetFormatPr defaultRowHeight="12.75" x14ac:dyDescent="0.2"/>
  <cols>
    <col min="2" max="2" width="4.140625" customWidth="1"/>
    <col min="3" max="3" width="24" style="2" customWidth="1"/>
    <col min="4" max="4" width="58.140625" style="2" customWidth="1"/>
    <col min="5" max="5" width="36.5703125" style="2" customWidth="1"/>
    <col min="6" max="6" width="4.85546875" customWidth="1"/>
  </cols>
  <sheetData>
    <row r="1" spans="2:6" ht="13.5" thickBot="1" x14ac:dyDescent="0.25"/>
    <row r="2" spans="2:6" x14ac:dyDescent="0.2">
      <c r="B2" s="13"/>
      <c r="C2" s="15"/>
      <c r="D2" s="15"/>
      <c r="E2" s="15"/>
      <c r="F2" s="16"/>
    </row>
    <row r="3" spans="2:6" ht="48.75" customHeight="1" x14ac:dyDescent="0.2">
      <c r="B3" s="17"/>
      <c r="C3" s="71" t="s">
        <v>0</v>
      </c>
      <c r="D3" s="71"/>
      <c r="E3" s="71"/>
      <c r="F3" s="19"/>
    </row>
    <row r="4" spans="2:6" x14ac:dyDescent="0.2">
      <c r="B4" s="17"/>
      <c r="C4" s="18"/>
      <c r="D4" s="18"/>
      <c r="E4" s="18"/>
      <c r="F4" s="19"/>
    </row>
    <row r="5" spans="2:6" x14ac:dyDescent="0.2">
      <c r="B5" s="17"/>
      <c r="C5" s="30" t="s">
        <v>5</v>
      </c>
      <c r="D5" s="30" t="s">
        <v>1</v>
      </c>
      <c r="E5" s="30" t="s">
        <v>2</v>
      </c>
      <c r="F5" s="19"/>
    </row>
    <row r="6" spans="2:6" x14ac:dyDescent="0.2">
      <c r="B6" s="17"/>
      <c r="C6" s="49" t="s">
        <v>6</v>
      </c>
      <c r="D6" s="18" t="s">
        <v>4</v>
      </c>
      <c r="E6" s="18" t="s">
        <v>3</v>
      </c>
      <c r="F6" s="19"/>
    </row>
    <row r="7" spans="2:6" x14ac:dyDescent="0.2">
      <c r="B7" s="17"/>
      <c r="C7" s="49" t="s">
        <v>6</v>
      </c>
      <c r="D7" s="18" t="s">
        <v>44</v>
      </c>
      <c r="E7" s="18" t="s">
        <v>45</v>
      </c>
      <c r="F7" s="19"/>
    </row>
    <row r="8" spans="2:6" x14ac:dyDescent="0.2">
      <c r="B8" s="17"/>
      <c r="C8" s="49" t="s">
        <v>6</v>
      </c>
      <c r="D8" s="18" t="s">
        <v>59</v>
      </c>
      <c r="E8" s="18" t="s">
        <v>60</v>
      </c>
      <c r="F8" s="19"/>
    </row>
    <row r="9" spans="2:6" x14ac:dyDescent="0.2">
      <c r="B9" s="17"/>
      <c r="C9" s="49" t="s">
        <v>6</v>
      </c>
      <c r="D9" s="18" t="s">
        <v>127</v>
      </c>
      <c r="E9" s="18" t="s">
        <v>128</v>
      </c>
      <c r="F9" s="19"/>
    </row>
    <row r="10" spans="2:6" x14ac:dyDescent="0.2">
      <c r="B10" s="17"/>
      <c r="C10" s="50" t="s">
        <v>202</v>
      </c>
      <c r="D10" s="18" t="s">
        <v>200</v>
      </c>
      <c r="E10" s="18" t="s">
        <v>201</v>
      </c>
      <c r="F10" s="19"/>
    </row>
    <row r="11" spans="2:6" x14ac:dyDescent="0.2">
      <c r="B11" s="17"/>
      <c r="C11" s="50" t="s">
        <v>202</v>
      </c>
      <c r="D11" s="18" t="s">
        <v>203</v>
      </c>
      <c r="E11" s="18" t="s">
        <v>204</v>
      </c>
      <c r="F11" s="19"/>
    </row>
    <row r="12" spans="2:6" x14ac:dyDescent="0.2">
      <c r="B12" s="17"/>
      <c r="C12" s="51" t="s">
        <v>229</v>
      </c>
      <c r="D12" s="18" t="s">
        <v>230</v>
      </c>
      <c r="E12" s="18" t="s">
        <v>231</v>
      </c>
      <c r="F12" s="19"/>
    </row>
    <row r="13" spans="2:6" x14ac:dyDescent="0.2">
      <c r="B13" s="17"/>
      <c r="C13" s="51" t="s">
        <v>229</v>
      </c>
      <c r="D13" s="18" t="s">
        <v>244</v>
      </c>
      <c r="E13" s="18" t="s">
        <v>243</v>
      </c>
      <c r="F13" s="19"/>
    </row>
    <row r="14" spans="2:6" x14ac:dyDescent="0.2">
      <c r="B14" s="17"/>
      <c r="C14" s="51" t="s">
        <v>229</v>
      </c>
      <c r="D14" s="18" t="s">
        <v>253</v>
      </c>
      <c r="E14" s="18" t="s">
        <v>254</v>
      </c>
      <c r="F14" s="19"/>
    </row>
    <row r="15" spans="2:6" x14ac:dyDescent="0.2">
      <c r="B15" s="17"/>
      <c r="C15" s="51" t="s">
        <v>229</v>
      </c>
      <c r="D15" s="18" t="s">
        <v>255</v>
      </c>
      <c r="E15" s="18" t="s">
        <v>256</v>
      </c>
      <c r="F15" s="19"/>
    </row>
    <row r="16" spans="2:6" ht="13.5" thickBot="1" x14ac:dyDescent="0.25">
      <c r="B16" s="25"/>
      <c r="C16" s="27"/>
      <c r="D16" s="27"/>
      <c r="E16" s="27"/>
      <c r="F16" s="28"/>
    </row>
    <row r="18" spans="3:3" x14ac:dyDescent="0.2">
      <c r="C18" s="52" t="s">
        <v>272</v>
      </c>
    </row>
  </sheetData>
  <mergeCells count="1">
    <mergeCell ref="C3:E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C45"/>
  <sheetViews>
    <sheetView workbookViewId="0">
      <selection activeCell="A2" sqref="A2:B2"/>
    </sheetView>
  </sheetViews>
  <sheetFormatPr defaultRowHeight="12.75" x14ac:dyDescent="0.2"/>
  <cols>
    <col min="1" max="1" width="53.85546875" customWidth="1"/>
    <col min="2" max="2" width="36.7109375" customWidth="1"/>
    <col min="3" max="3" width="22.140625" customWidth="1"/>
  </cols>
  <sheetData>
    <row r="1" spans="1:3" x14ac:dyDescent="0.2">
      <c r="A1" s="52" t="s">
        <v>272</v>
      </c>
    </row>
    <row r="2" spans="1:3" ht="20.25" x14ac:dyDescent="0.2">
      <c r="A2" s="72" t="s">
        <v>4</v>
      </c>
      <c r="B2" s="72"/>
    </row>
    <row r="4" spans="1:3" x14ac:dyDescent="0.2">
      <c r="A4" s="1" t="s">
        <v>7</v>
      </c>
      <c r="B4" s="1" t="s">
        <v>8</v>
      </c>
      <c r="C4" s="1" t="s">
        <v>9</v>
      </c>
    </row>
    <row r="5" spans="1:3" x14ac:dyDescent="0.2">
      <c r="A5" s="6" t="s">
        <v>18</v>
      </c>
      <c r="B5" s="7"/>
      <c r="C5" s="7"/>
    </row>
    <row r="6" spans="1:3" x14ac:dyDescent="0.2">
      <c r="A6" s="4" t="s">
        <v>10</v>
      </c>
      <c r="B6" s="2" t="s">
        <v>11</v>
      </c>
      <c r="C6" s="5">
        <v>4.7</v>
      </c>
    </row>
    <row r="7" spans="1:3" x14ac:dyDescent="0.2">
      <c r="A7" s="4" t="s">
        <v>12</v>
      </c>
      <c r="B7" s="2" t="s">
        <v>13</v>
      </c>
      <c r="C7" s="5">
        <v>7.2</v>
      </c>
    </row>
    <row r="8" spans="1:3" x14ac:dyDescent="0.2">
      <c r="A8" s="4" t="s">
        <v>14</v>
      </c>
      <c r="B8" s="2" t="s">
        <v>13</v>
      </c>
      <c r="C8" s="5">
        <v>8.6999999999999993</v>
      </c>
    </row>
    <row r="9" spans="1:3" x14ac:dyDescent="0.2">
      <c r="A9" s="4" t="s">
        <v>15</v>
      </c>
      <c r="B9" s="2" t="s">
        <v>16</v>
      </c>
      <c r="C9" s="5">
        <v>134</v>
      </c>
    </row>
    <row r="10" spans="1:3" x14ac:dyDescent="0.2">
      <c r="A10" s="4" t="s">
        <v>17</v>
      </c>
      <c r="B10" s="2" t="s">
        <v>16</v>
      </c>
      <c r="C10" s="5">
        <v>125</v>
      </c>
    </row>
    <row r="11" spans="1:3" x14ac:dyDescent="0.2">
      <c r="A11" s="6" t="s">
        <v>19</v>
      </c>
      <c r="B11" s="8"/>
      <c r="C11" s="9"/>
    </row>
    <row r="12" spans="1:3" x14ac:dyDescent="0.2">
      <c r="A12" s="4" t="s">
        <v>20</v>
      </c>
      <c r="B12" s="2" t="s">
        <v>21</v>
      </c>
      <c r="C12" s="10">
        <v>5.3999999999999999E-2</v>
      </c>
    </row>
    <row r="13" spans="1:3" x14ac:dyDescent="0.2">
      <c r="A13" s="4" t="s">
        <v>22</v>
      </c>
      <c r="B13" s="2" t="s">
        <v>21</v>
      </c>
      <c r="C13" s="10">
        <v>1.4E-2</v>
      </c>
    </row>
    <row r="14" spans="1:3" x14ac:dyDescent="0.2">
      <c r="A14" s="6" t="s">
        <v>23</v>
      </c>
      <c r="B14" s="8"/>
      <c r="C14" s="9"/>
    </row>
    <row r="15" spans="1:3" x14ac:dyDescent="0.2">
      <c r="A15" s="4" t="s">
        <v>24</v>
      </c>
      <c r="B15" s="2" t="s">
        <v>25</v>
      </c>
      <c r="C15" s="5">
        <v>414</v>
      </c>
    </row>
    <row r="16" spans="1:3" x14ac:dyDescent="0.2">
      <c r="A16" s="4" t="s">
        <v>26</v>
      </c>
      <c r="B16" s="2" t="s">
        <v>27</v>
      </c>
      <c r="C16" s="5">
        <v>9</v>
      </c>
    </row>
    <row r="17" spans="1:3" x14ac:dyDescent="0.2">
      <c r="A17" s="6" t="s">
        <v>28</v>
      </c>
      <c r="B17" s="8"/>
      <c r="C17" s="9"/>
    </row>
    <row r="18" spans="1:3" x14ac:dyDescent="0.2">
      <c r="A18" s="4" t="s">
        <v>28</v>
      </c>
      <c r="B18" s="2" t="s">
        <v>29</v>
      </c>
      <c r="C18" s="5">
        <v>2384</v>
      </c>
    </row>
    <row r="19" spans="1:3" x14ac:dyDescent="0.2">
      <c r="A19" s="4" t="s">
        <v>30</v>
      </c>
      <c r="B19" s="2" t="s">
        <v>31</v>
      </c>
      <c r="C19" s="5">
        <v>724</v>
      </c>
    </row>
    <row r="20" spans="1:3" x14ac:dyDescent="0.2">
      <c r="A20" s="6" t="s">
        <v>33</v>
      </c>
      <c r="B20" s="8"/>
      <c r="C20" s="9"/>
    </row>
    <row r="21" spans="1:3" x14ac:dyDescent="0.2">
      <c r="A21" s="4" t="s">
        <v>34</v>
      </c>
      <c r="B21" s="2" t="s">
        <v>13</v>
      </c>
      <c r="C21" s="10">
        <v>0.34799999999999998</v>
      </c>
    </row>
    <row r="22" spans="1:3" x14ac:dyDescent="0.2">
      <c r="A22" s="4" t="s">
        <v>35</v>
      </c>
      <c r="B22" s="2" t="s">
        <v>13</v>
      </c>
      <c r="C22" s="10">
        <v>0.17299999999999999</v>
      </c>
    </row>
    <row r="23" spans="1:3" x14ac:dyDescent="0.2">
      <c r="A23" s="4" t="s">
        <v>36</v>
      </c>
      <c r="B23" s="2" t="s">
        <v>13</v>
      </c>
      <c r="C23" s="10">
        <v>0.13200000000000001</v>
      </c>
    </row>
    <row r="24" spans="1:3" x14ac:dyDescent="0.2">
      <c r="A24" s="4" t="s">
        <v>37</v>
      </c>
      <c r="B24" s="2" t="s">
        <v>13</v>
      </c>
      <c r="C24" s="10">
        <v>8.4000000000000005E-2</v>
      </c>
    </row>
    <row r="25" spans="1:3" x14ac:dyDescent="0.2">
      <c r="A25" s="6" t="s">
        <v>38</v>
      </c>
      <c r="B25" s="8"/>
      <c r="C25" s="9"/>
    </row>
    <row r="26" spans="1:3" x14ac:dyDescent="0.2">
      <c r="A26" s="4" t="s">
        <v>34</v>
      </c>
      <c r="B26" s="2" t="s">
        <v>13</v>
      </c>
      <c r="C26" s="10">
        <v>0.46400000000000002</v>
      </c>
    </row>
    <row r="27" spans="1:3" x14ac:dyDescent="0.2">
      <c r="A27" s="4" t="s">
        <v>35</v>
      </c>
      <c r="B27" s="2" t="s">
        <v>13</v>
      </c>
      <c r="C27" s="10">
        <v>0.32200000000000001</v>
      </c>
    </row>
    <row r="28" spans="1:3" x14ac:dyDescent="0.2">
      <c r="A28" s="4" t="s">
        <v>36</v>
      </c>
      <c r="B28" s="2" t="s">
        <v>13</v>
      </c>
      <c r="C28" s="10">
        <v>0.155</v>
      </c>
    </row>
    <row r="29" spans="1:3" x14ac:dyDescent="0.2">
      <c r="A29" s="4" t="s">
        <v>37</v>
      </c>
      <c r="B29" s="2" t="s">
        <v>13</v>
      </c>
      <c r="C29" s="10">
        <v>8.8999999999999996E-2</v>
      </c>
    </row>
    <row r="30" spans="1:3" x14ac:dyDescent="0.2">
      <c r="A30" s="6" t="s">
        <v>39</v>
      </c>
      <c r="B30" s="11"/>
      <c r="C30" s="12"/>
    </row>
    <row r="31" spans="1:3" x14ac:dyDescent="0.2">
      <c r="A31" s="4" t="s">
        <v>40</v>
      </c>
      <c r="B31" s="2" t="s">
        <v>41</v>
      </c>
      <c r="C31" s="5">
        <v>20</v>
      </c>
    </row>
    <row r="32" spans="1:3" x14ac:dyDescent="0.2">
      <c r="A32" s="4" t="s">
        <v>40</v>
      </c>
      <c r="B32" s="2" t="s">
        <v>42</v>
      </c>
      <c r="C32" s="5">
        <v>14</v>
      </c>
    </row>
    <row r="33" spans="1:3" x14ac:dyDescent="0.2">
      <c r="A33" s="4" t="s">
        <v>43</v>
      </c>
      <c r="B33" s="2" t="s">
        <v>41</v>
      </c>
      <c r="C33" s="5">
        <v>20</v>
      </c>
    </row>
    <row r="34" spans="1:3" x14ac:dyDescent="0.2">
      <c r="B34" s="2"/>
      <c r="C34" s="5"/>
    </row>
    <row r="35" spans="1:3" x14ac:dyDescent="0.2">
      <c r="B35" s="2"/>
      <c r="C35" s="2"/>
    </row>
    <row r="36" spans="1:3" x14ac:dyDescent="0.2">
      <c r="B36" s="2"/>
      <c r="C36" s="2"/>
    </row>
    <row r="37" spans="1:3" x14ac:dyDescent="0.2">
      <c r="B37" s="2"/>
      <c r="C37" s="2"/>
    </row>
    <row r="38" spans="1:3" x14ac:dyDescent="0.2">
      <c r="B38" s="2"/>
      <c r="C38" s="2"/>
    </row>
    <row r="39" spans="1:3" x14ac:dyDescent="0.2">
      <c r="B39" s="2"/>
      <c r="C39" s="2"/>
    </row>
    <row r="40" spans="1:3" x14ac:dyDescent="0.2">
      <c r="B40" s="2"/>
      <c r="C40" s="2"/>
    </row>
    <row r="41" spans="1:3" x14ac:dyDescent="0.2">
      <c r="B41" s="2"/>
      <c r="C41" s="2"/>
    </row>
    <row r="42" spans="1:3" x14ac:dyDescent="0.2">
      <c r="B42" s="2"/>
      <c r="C42" s="2"/>
    </row>
    <row r="43" spans="1:3" x14ac:dyDescent="0.2">
      <c r="B43" s="2"/>
      <c r="C43" s="2"/>
    </row>
    <row r="44" spans="1:3" x14ac:dyDescent="0.2">
      <c r="B44" s="2"/>
      <c r="C44" s="2"/>
    </row>
    <row r="45" spans="1:3" x14ac:dyDescent="0.2">
      <c r="B45" s="2"/>
      <c r="C45" s="2"/>
    </row>
  </sheetData>
  <mergeCells count="1">
    <mergeCell ref="A2:B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C54"/>
  <sheetViews>
    <sheetView workbookViewId="0">
      <selection activeCell="A2" sqref="A2:B2"/>
    </sheetView>
  </sheetViews>
  <sheetFormatPr defaultRowHeight="12.75" x14ac:dyDescent="0.2"/>
  <cols>
    <col min="1" max="1" width="53.85546875" customWidth="1"/>
    <col min="2" max="2" width="36.7109375" customWidth="1"/>
    <col min="3" max="3" width="22.140625" customWidth="1"/>
  </cols>
  <sheetData>
    <row r="1" spans="1:3" x14ac:dyDescent="0.2">
      <c r="A1" s="52" t="s">
        <v>272</v>
      </c>
    </row>
    <row r="2" spans="1:3" ht="20.25" x14ac:dyDescent="0.2">
      <c r="A2" s="72" t="s">
        <v>44</v>
      </c>
      <c r="B2" s="72"/>
    </row>
    <row r="4" spans="1:3" x14ac:dyDescent="0.2">
      <c r="A4" s="1" t="s">
        <v>7</v>
      </c>
      <c r="B4" s="1" t="s">
        <v>8</v>
      </c>
      <c r="C4" s="1" t="s">
        <v>9</v>
      </c>
    </row>
    <row r="5" spans="1:3" x14ac:dyDescent="0.2">
      <c r="A5" s="6" t="s">
        <v>18</v>
      </c>
      <c r="B5" s="7"/>
      <c r="C5" s="7"/>
    </row>
    <row r="6" spans="1:3" x14ac:dyDescent="0.2">
      <c r="A6" s="4" t="s">
        <v>46</v>
      </c>
      <c r="B6" s="2" t="s">
        <v>47</v>
      </c>
      <c r="C6" s="5">
        <v>2677</v>
      </c>
    </row>
    <row r="7" spans="1:3" x14ac:dyDescent="0.2">
      <c r="A7" s="4" t="s">
        <v>10</v>
      </c>
      <c r="B7" s="2" t="s">
        <v>11</v>
      </c>
      <c r="C7" s="5">
        <v>4.7</v>
      </c>
    </row>
    <row r="8" spans="1:3" x14ac:dyDescent="0.2">
      <c r="A8" s="4" t="s">
        <v>48</v>
      </c>
      <c r="B8" s="2" t="s">
        <v>13</v>
      </c>
      <c r="C8" s="5">
        <v>3.8</v>
      </c>
    </row>
    <row r="9" spans="1:3" x14ac:dyDescent="0.2">
      <c r="A9" s="4" t="s">
        <v>15</v>
      </c>
      <c r="B9" s="2" t="s">
        <v>16</v>
      </c>
      <c r="C9" s="5">
        <v>126</v>
      </c>
    </row>
    <row r="10" spans="1:3" x14ac:dyDescent="0.2">
      <c r="A10" s="4" t="s">
        <v>17</v>
      </c>
      <c r="B10" s="2" t="s">
        <v>16</v>
      </c>
      <c r="C10" s="5">
        <v>118</v>
      </c>
    </row>
    <row r="11" spans="1:3" x14ac:dyDescent="0.2">
      <c r="A11" s="6" t="s">
        <v>49</v>
      </c>
      <c r="B11" s="8"/>
      <c r="C11" s="9"/>
    </row>
    <row r="12" spans="1:3" x14ac:dyDescent="0.2">
      <c r="A12" s="4" t="s">
        <v>50</v>
      </c>
      <c r="B12" s="2" t="s">
        <v>58</v>
      </c>
      <c r="C12" s="5">
        <v>602</v>
      </c>
    </row>
    <row r="13" spans="1:3" x14ac:dyDescent="0.2">
      <c r="A13" s="4" t="s">
        <v>51</v>
      </c>
      <c r="B13" s="2" t="s">
        <v>58</v>
      </c>
      <c r="C13" s="5">
        <v>580</v>
      </c>
    </row>
    <row r="14" spans="1:3" x14ac:dyDescent="0.2">
      <c r="A14" s="4" t="s">
        <v>52</v>
      </c>
      <c r="B14" s="2" t="s">
        <v>58</v>
      </c>
      <c r="C14" s="5">
        <v>631</v>
      </c>
    </row>
    <row r="15" spans="1:3" x14ac:dyDescent="0.2">
      <c r="A15" s="4" t="s">
        <v>53</v>
      </c>
      <c r="B15" s="2" t="s">
        <v>58</v>
      </c>
      <c r="C15" s="5">
        <v>609</v>
      </c>
    </row>
    <row r="16" spans="1:3" x14ac:dyDescent="0.2">
      <c r="A16" s="4" t="s">
        <v>54</v>
      </c>
      <c r="B16" s="2" t="s">
        <v>58</v>
      </c>
      <c r="C16" s="5">
        <v>701</v>
      </c>
    </row>
    <row r="17" spans="1:3" x14ac:dyDescent="0.2">
      <c r="A17" s="4" t="s">
        <v>55</v>
      </c>
      <c r="B17" s="2" t="s">
        <v>58</v>
      </c>
      <c r="C17" s="5">
        <v>679</v>
      </c>
    </row>
    <row r="18" spans="1:3" x14ac:dyDescent="0.2">
      <c r="A18" s="4" t="s">
        <v>56</v>
      </c>
      <c r="B18" s="2" t="s">
        <v>58</v>
      </c>
      <c r="C18" s="5">
        <v>1820</v>
      </c>
    </row>
    <row r="19" spans="1:3" x14ac:dyDescent="0.2">
      <c r="A19" s="4" t="s">
        <v>57</v>
      </c>
      <c r="B19" s="2" t="s">
        <v>58</v>
      </c>
      <c r="C19" s="5">
        <v>1840</v>
      </c>
    </row>
    <row r="20" spans="1:3" x14ac:dyDescent="0.2">
      <c r="A20" s="6" t="s">
        <v>19</v>
      </c>
      <c r="B20" s="8"/>
      <c r="C20" s="9"/>
    </row>
    <row r="21" spans="1:3" x14ac:dyDescent="0.2">
      <c r="A21" s="4" t="s">
        <v>20</v>
      </c>
      <c r="B21" s="2" t="s">
        <v>21</v>
      </c>
      <c r="C21" s="10">
        <v>5.3999999999999999E-2</v>
      </c>
    </row>
    <row r="22" spans="1:3" x14ac:dyDescent="0.2">
      <c r="A22" s="4" t="s">
        <v>22</v>
      </c>
      <c r="B22" s="2" t="s">
        <v>21</v>
      </c>
      <c r="C22" s="10">
        <v>1.4E-2</v>
      </c>
    </row>
    <row r="23" spans="1:3" x14ac:dyDescent="0.2">
      <c r="A23" s="6" t="s">
        <v>23</v>
      </c>
      <c r="B23" s="8"/>
      <c r="C23" s="9"/>
    </row>
    <row r="24" spans="1:3" x14ac:dyDescent="0.2">
      <c r="A24" s="4" t="s">
        <v>24</v>
      </c>
      <c r="B24" s="2" t="s">
        <v>25</v>
      </c>
      <c r="C24" s="5">
        <v>414</v>
      </c>
    </row>
    <row r="25" spans="1:3" x14ac:dyDescent="0.2">
      <c r="A25" s="4" t="s">
        <v>26</v>
      </c>
      <c r="B25" s="2" t="s">
        <v>27</v>
      </c>
      <c r="C25" s="5">
        <v>9</v>
      </c>
    </row>
    <row r="26" spans="1:3" x14ac:dyDescent="0.2">
      <c r="A26" s="6" t="s">
        <v>28</v>
      </c>
      <c r="B26" s="8"/>
      <c r="C26" s="9"/>
    </row>
    <row r="27" spans="1:3" x14ac:dyDescent="0.2">
      <c r="A27" s="4" t="s">
        <v>28</v>
      </c>
      <c r="B27" s="2" t="s">
        <v>29</v>
      </c>
      <c r="C27" s="5">
        <v>2384</v>
      </c>
    </row>
    <row r="28" spans="1:3" x14ac:dyDescent="0.2">
      <c r="A28" s="4" t="s">
        <v>30</v>
      </c>
      <c r="B28" s="2" t="s">
        <v>31</v>
      </c>
      <c r="C28" s="5">
        <v>724</v>
      </c>
    </row>
    <row r="29" spans="1:3" x14ac:dyDescent="0.2">
      <c r="A29" s="6" t="s">
        <v>33</v>
      </c>
      <c r="B29" s="8"/>
      <c r="C29" s="9"/>
    </row>
    <row r="30" spans="1:3" x14ac:dyDescent="0.2">
      <c r="A30" s="4" t="s">
        <v>34</v>
      </c>
      <c r="B30" s="2" t="s">
        <v>13</v>
      </c>
      <c r="C30" s="10">
        <v>0.34799999999999998</v>
      </c>
    </row>
    <row r="31" spans="1:3" x14ac:dyDescent="0.2">
      <c r="A31" s="4" t="s">
        <v>35</v>
      </c>
      <c r="B31" s="2" t="s">
        <v>13</v>
      </c>
      <c r="C31" s="10">
        <v>0.17299999999999999</v>
      </c>
    </row>
    <row r="32" spans="1:3" x14ac:dyDescent="0.2">
      <c r="A32" s="4" t="s">
        <v>36</v>
      </c>
      <c r="B32" s="2" t="s">
        <v>13</v>
      </c>
      <c r="C32" s="10">
        <v>0.13200000000000001</v>
      </c>
    </row>
    <row r="33" spans="1:3" x14ac:dyDescent="0.2">
      <c r="A33" s="4" t="s">
        <v>37</v>
      </c>
      <c r="B33" s="2" t="s">
        <v>13</v>
      </c>
      <c r="C33" s="10">
        <v>8.4000000000000005E-2</v>
      </c>
    </row>
    <row r="34" spans="1:3" x14ac:dyDescent="0.2">
      <c r="A34" s="6" t="s">
        <v>38</v>
      </c>
      <c r="B34" s="8"/>
      <c r="C34" s="9"/>
    </row>
    <row r="35" spans="1:3" x14ac:dyDescent="0.2">
      <c r="A35" s="4" t="s">
        <v>34</v>
      </c>
      <c r="B35" s="2" t="s">
        <v>13</v>
      </c>
      <c r="C35" s="10">
        <v>0.46400000000000002</v>
      </c>
    </row>
    <row r="36" spans="1:3" x14ac:dyDescent="0.2">
      <c r="A36" s="4" t="s">
        <v>35</v>
      </c>
      <c r="B36" s="2" t="s">
        <v>13</v>
      </c>
      <c r="C36" s="10">
        <v>0.32200000000000001</v>
      </c>
    </row>
    <row r="37" spans="1:3" x14ac:dyDescent="0.2">
      <c r="A37" s="4" t="s">
        <v>36</v>
      </c>
      <c r="B37" s="2" t="s">
        <v>13</v>
      </c>
      <c r="C37" s="10">
        <v>0.155</v>
      </c>
    </row>
    <row r="38" spans="1:3" x14ac:dyDescent="0.2">
      <c r="A38" s="4" t="s">
        <v>37</v>
      </c>
      <c r="B38" s="2" t="s">
        <v>13</v>
      </c>
      <c r="C38" s="10">
        <v>8.8999999999999996E-2</v>
      </c>
    </row>
    <row r="39" spans="1:3" x14ac:dyDescent="0.2">
      <c r="A39" s="6" t="s">
        <v>39</v>
      </c>
      <c r="B39" s="11"/>
      <c r="C39" s="12"/>
    </row>
    <row r="40" spans="1:3" x14ac:dyDescent="0.2">
      <c r="A40" s="4" t="s">
        <v>40</v>
      </c>
      <c r="B40" s="2" t="s">
        <v>41</v>
      </c>
      <c r="C40" s="5">
        <v>20</v>
      </c>
    </row>
    <row r="41" spans="1:3" x14ac:dyDescent="0.2">
      <c r="A41" s="4" t="s">
        <v>40</v>
      </c>
      <c r="B41" s="2" t="s">
        <v>42</v>
      </c>
      <c r="C41" s="5">
        <v>14</v>
      </c>
    </row>
    <row r="42" spans="1:3" x14ac:dyDescent="0.2">
      <c r="A42" s="4" t="s">
        <v>43</v>
      </c>
      <c r="B42" s="2" t="s">
        <v>41</v>
      </c>
      <c r="C42" s="5">
        <v>20</v>
      </c>
    </row>
    <row r="43" spans="1:3" x14ac:dyDescent="0.2">
      <c r="B43" s="2"/>
      <c r="C43" s="5"/>
    </row>
    <row r="44" spans="1:3" x14ac:dyDescent="0.2">
      <c r="B44" s="2"/>
      <c r="C44" s="2"/>
    </row>
    <row r="45" spans="1:3" x14ac:dyDescent="0.2">
      <c r="B45" s="2"/>
      <c r="C45" s="2"/>
    </row>
    <row r="46" spans="1:3" x14ac:dyDescent="0.2">
      <c r="B46" s="2"/>
      <c r="C46" s="2"/>
    </row>
    <row r="47" spans="1:3" x14ac:dyDescent="0.2">
      <c r="B47" s="2"/>
      <c r="C47" s="2"/>
    </row>
    <row r="48" spans="1:3" x14ac:dyDescent="0.2">
      <c r="B48" s="2"/>
      <c r="C48" s="2"/>
    </row>
    <row r="49" spans="2:3" x14ac:dyDescent="0.2">
      <c r="B49" s="2"/>
      <c r="C49" s="2"/>
    </row>
    <row r="50" spans="2:3" x14ac:dyDescent="0.2">
      <c r="B50" s="2"/>
      <c r="C50" s="2"/>
    </row>
    <row r="51" spans="2:3" x14ac:dyDescent="0.2">
      <c r="B51" s="2"/>
      <c r="C51" s="2"/>
    </row>
    <row r="52" spans="2:3" x14ac:dyDescent="0.2">
      <c r="B52" s="2"/>
      <c r="C52" s="2"/>
    </row>
    <row r="53" spans="2:3" x14ac:dyDescent="0.2">
      <c r="B53" s="2"/>
      <c r="C53" s="2"/>
    </row>
    <row r="54" spans="2:3" x14ac:dyDescent="0.2">
      <c r="B54" s="2"/>
      <c r="C54" s="2"/>
    </row>
  </sheetData>
  <mergeCells count="1">
    <mergeCell ref="A2:B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4"/>
  <sheetViews>
    <sheetView workbookViewId="0">
      <selection activeCell="C2" sqref="C2:D2"/>
    </sheetView>
  </sheetViews>
  <sheetFormatPr defaultRowHeight="12.75" x14ac:dyDescent="0.2"/>
  <cols>
    <col min="1" max="1" width="4.140625" customWidth="1"/>
    <col min="2" max="2" width="3.5703125" customWidth="1"/>
    <col min="3" max="3" width="50.5703125" customWidth="1"/>
    <col min="4" max="4" width="28.85546875" style="2" customWidth="1"/>
    <col min="5" max="5" width="27.28515625" style="2" customWidth="1"/>
    <col min="6" max="6" width="3.7109375" customWidth="1"/>
    <col min="8" max="8" width="3.5703125" customWidth="1"/>
    <col min="9" max="9" width="50.28515625" customWidth="1"/>
    <col min="10" max="12" width="20.7109375" customWidth="1"/>
    <col min="13" max="13" width="4.28515625" customWidth="1"/>
  </cols>
  <sheetData>
    <row r="1" spans="1:13" x14ac:dyDescent="0.2">
      <c r="A1" s="52"/>
      <c r="C1" s="52" t="s">
        <v>272</v>
      </c>
    </row>
    <row r="2" spans="1:13" ht="20.25" x14ac:dyDescent="0.2">
      <c r="C2" s="72" t="s">
        <v>59</v>
      </c>
      <c r="D2" s="72"/>
    </row>
    <row r="3" spans="1:13" ht="21" thickBot="1" x14ac:dyDescent="0.25">
      <c r="C3" s="3"/>
      <c r="D3" s="3"/>
    </row>
    <row r="4" spans="1:13" x14ac:dyDescent="0.2">
      <c r="B4" s="13"/>
      <c r="C4" s="14"/>
      <c r="D4" s="15"/>
      <c r="E4" s="15"/>
      <c r="F4" s="16"/>
      <c r="H4" s="13"/>
      <c r="I4" s="14"/>
      <c r="J4" s="14"/>
      <c r="K4" s="14"/>
      <c r="L4" s="14"/>
      <c r="M4" s="16"/>
    </row>
    <row r="5" spans="1:13" x14ac:dyDescent="0.2">
      <c r="B5" s="17"/>
      <c r="C5" s="29" t="s">
        <v>62</v>
      </c>
      <c r="D5" s="18"/>
      <c r="E5" s="18"/>
      <c r="F5" s="19"/>
      <c r="H5" s="17"/>
      <c r="I5" s="75" t="s">
        <v>69</v>
      </c>
      <c r="J5" s="75"/>
      <c r="K5" s="20"/>
      <c r="L5" s="20"/>
      <c r="M5" s="19"/>
    </row>
    <row r="6" spans="1:13" x14ac:dyDescent="0.2">
      <c r="B6" s="17"/>
      <c r="C6" s="20"/>
      <c r="D6" s="18"/>
      <c r="E6" s="18"/>
      <c r="F6" s="19"/>
      <c r="H6" s="17"/>
      <c r="I6" s="20"/>
      <c r="J6" s="20"/>
      <c r="K6" s="20"/>
      <c r="L6" s="20"/>
      <c r="M6" s="19"/>
    </row>
    <row r="7" spans="1:13" x14ac:dyDescent="0.2">
      <c r="B7" s="17"/>
      <c r="C7" s="21" t="s">
        <v>7</v>
      </c>
      <c r="D7" s="21" t="s">
        <v>8</v>
      </c>
      <c r="E7" s="21" t="s">
        <v>61</v>
      </c>
      <c r="F7" s="19"/>
      <c r="H7" s="17"/>
      <c r="I7" s="75" t="s">
        <v>70</v>
      </c>
      <c r="J7" s="75"/>
      <c r="K7" s="20"/>
      <c r="L7" s="20"/>
      <c r="M7" s="19"/>
    </row>
    <row r="8" spans="1:13" x14ac:dyDescent="0.2">
      <c r="B8" s="17"/>
      <c r="C8" s="22" t="s">
        <v>10</v>
      </c>
      <c r="D8" s="18" t="s">
        <v>11</v>
      </c>
      <c r="E8" s="23">
        <v>2.1999999999999999E-2</v>
      </c>
      <c r="F8" s="19"/>
      <c r="H8" s="17"/>
      <c r="I8" s="20"/>
      <c r="J8" s="20"/>
      <c r="K8" s="20"/>
      <c r="L8" s="20"/>
      <c r="M8" s="19"/>
    </row>
    <row r="9" spans="1:13" x14ac:dyDescent="0.2">
      <c r="B9" s="17"/>
      <c r="C9" s="22" t="s">
        <v>48</v>
      </c>
      <c r="D9" s="18" t="s">
        <v>13</v>
      </c>
      <c r="E9" s="23">
        <v>1.7000000000000001E-2</v>
      </c>
      <c r="F9" s="19"/>
      <c r="H9" s="17"/>
      <c r="I9" s="21" t="s">
        <v>98</v>
      </c>
      <c r="J9" s="21" t="s">
        <v>71</v>
      </c>
      <c r="K9" s="21" t="s">
        <v>72</v>
      </c>
      <c r="L9" s="21" t="s">
        <v>9</v>
      </c>
      <c r="M9" s="19"/>
    </row>
    <row r="10" spans="1:13" x14ac:dyDescent="0.2">
      <c r="B10" s="17"/>
      <c r="C10" s="20" t="s">
        <v>63</v>
      </c>
      <c r="D10" s="18" t="s">
        <v>16</v>
      </c>
      <c r="E10" s="23">
        <v>0.03</v>
      </c>
      <c r="F10" s="19"/>
      <c r="H10" s="17"/>
      <c r="I10" s="31" t="s">
        <v>73</v>
      </c>
      <c r="J10" s="31" t="s">
        <v>81</v>
      </c>
      <c r="K10" s="31" t="s">
        <v>89</v>
      </c>
      <c r="L10" s="32">
        <v>248</v>
      </c>
      <c r="M10" s="19"/>
    </row>
    <row r="11" spans="1:13" x14ac:dyDescent="0.2">
      <c r="B11" s="17"/>
      <c r="C11" s="20" t="s">
        <v>68</v>
      </c>
      <c r="D11" s="18" t="s">
        <v>16</v>
      </c>
      <c r="E11" s="23">
        <v>1.9E-2</v>
      </c>
      <c r="F11" s="19"/>
      <c r="H11" s="17"/>
      <c r="I11" s="31" t="s">
        <v>74</v>
      </c>
      <c r="J11" s="31" t="s">
        <v>82</v>
      </c>
      <c r="K11" s="31" t="s">
        <v>90</v>
      </c>
      <c r="L11" s="32">
        <v>620</v>
      </c>
      <c r="M11" s="19"/>
    </row>
    <row r="12" spans="1:13" x14ac:dyDescent="0.2">
      <c r="B12" s="17"/>
      <c r="C12" s="20" t="s">
        <v>64</v>
      </c>
      <c r="D12" s="18" t="s">
        <v>13</v>
      </c>
      <c r="E12" s="24">
        <v>3.4000000000000002E-4</v>
      </c>
      <c r="F12" s="19"/>
      <c r="H12" s="17"/>
      <c r="I12" s="31" t="s">
        <v>75</v>
      </c>
      <c r="J12" s="31" t="s">
        <v>83</v>
      </c>
      <c r="K12" s="31" t="s">
        <v>91</v>
      </c>
      <c r="L12" s="32">
        <v>1240</v>
      </c>
      <c r="M12" s="19"/>
    </row>
    <row r="13" spans="1:13" x14ac:dyDescent="0.2">
      <c r="B13" s="17"/>
      <c r="C13" s="20" t="s">
        <v>65</v>
      </c>
      <c r="D13" s="18" t="s">
        <v>13</v>
      </c>
      <c r="E13" s="24">
        <v>2.2000000000000001E-4</v>
      </c>
      <c r="F13" s="19"/>
      <c r="H13" s="17"/>
      <c r="I13" s="31" t="s">
        <v>76</v>
      </c>
      <c r="J13" s="31" t="s">
        <v>84</v>
      </c>
      <c r="K13" s="31" t="s">
        <v>92</v>
      </c>
      <c r="L13" s="32">
        <v>2480</v>
      </c>
      <c r="M13" s="19"/>
    </row>
    <row r="14" spans="1:13" x14ac:dyDescent="0.2">
      <c r="B14" s="17"/>
      <c r="C14" s="20" t="s">
        <v>66</v>
      </c>
      <c r="D14" s="18" t="s">
        <v>13</v>
      </c>
      <c r="E14" s="24">
        <v>5.1999999999999995E-4</v>
      </c>
      <c r="F14" s="19"/>
      <c r="H14" s="17"/>
      <c r="I14" s="31" t="s">
        <v>77</v>
      </c>
      <c r="J14" s="31" t="s">
        <v>85</v>
      </c>
      <c r="K14" s="31" t="s">
        <v>93</v>
      </c>
      <c r="L14" s="32">
        <v>496</v>
      </c>
      <c r="M14" s="19"/>
    </row>
    <row r="15" spans="1:13" x14ac:dyDescent="0.2">
      <c r="B15" s="17"/>
      <c r="C15" s="20" t="s">
        <v>67</v>
      </c>
      <c r="D15" s="18" t="s">
        <v>13</v>
      </c>
      <c r="E15" s="24">
        <v>4.0000000000000002E-4</v>
      </c>
      <c r="F15" s="19"/>
      <c r="H15" s="17"/>
      <c r="I15" s="31" t="s">
        <v>78</v>
      </c>
      <c r="J15" s="31" t="s">
        <v>86</v>
      </c>
      <c r="K15" s="31" t="s">
        <v>94</v>
      </c>
      <c r="L15" s="32">
        <v>1240</v>
      </c>
      <c r="M15" s="19"/>
    </row>
    <row r="16" spans="1:13" ht="13.5" thickBot="1" x14ac:dyDescent="0.25">
      <c r="B16" s="25"/>
      <c r="C16" s="26"/>
      <c r="D16" s="27"/>
      <c r="E16" s="27"/>
      <c r="F16" s="28"/>
      <c r="H16" s="17"/>
      <c r="I16" s="31" t="s">
        <v>79</v>
      </c>
      <c r="J16" s="31" t="s">
        <v>87</v>
      </c>
      <c r="K16" s="31" t="s">
        <v>95</v>
      </c>
      <c r="L16" s="32">
        <v>2480</v>
      </c>
      <c r="M16" s="19"/>
    </row>
    <row r="17" spans="8:13" x14ac:dyDescent="0.2">
      <c r="H17" s="17"/>
      <c r="I17" s="31" t="s">
        <v>80</v>
      </c>
      <c r="J17" s="31" t="s">
        <v>88</v>
      </c>
      <c r="K17" s="31" t="s">
        <v>96</v>
      </c>
      <c r="L17" s="32">
        <v>4960</v>
      </c>
      <c r="M17" s="19"/>
    </row>
    <row r="18" spans="8:13" x14ac:dyDescent="0.2">
      <c r="H18" s="17"/>
      <c r="I18" s="20"/>
      <c r="J18" s="20"/>
      <c r="K18" s="20"/>
      <c r="L18" s="20"/>
      <c r="M18" s="19"/>
    </row>
    <row r="19" spans="8:13" x14ac:dyDescent="0.2">
      <c r="H19" s="17"/>
      <c r="I19" s="75" t="s">
        <v>97</v>
      </c>
      <c r="J19" s="75"/>
      <c r="K19" s="20"/>
      <c r="L19" s="20"/>
      <c r="M19" s="19"/>
    </row>
    <row r="20" spans="8:13" x14ac:dyDescent="0.2">
      <c r="H20" s="17"/>
      <c r="I20" s="20"/>
      <c r="J20" s="20"/>
      <c r="K20" s="20"/>
      <c r="L20" s="20"/>
      <c r="M20" s="19"/>
    </row>
    <row r="21" spans="8:13" x14ac:dyDescent="0.2">
      <c r="H21" s="17"/>
      <c r="I21" s="21" t="s">
        <v>98</v>
      </c>
      <c r="J21" s="21" t="s">
        <v>71</v>
      </c>
      <c r="K21" s="21" t="s">
        <v>72</v>
      </c>
      <c r="L21" s="21" t="s">
        <v>9</v>
      </c>
      <c r="M21" s="19"/>
    </row>
    <row r="22" spans="8:13" x14ac:dyDescent="0.2">
      <c r="H22" s="17"/>
      <c r="I22" s="18" t="s">
        <v>99</v>
      </c>
      <c r="J22" s="31" t="s">
        <v>81</v>
      </c>
      <c r="K22" s="31" t="s">
        <v>103</v>
      </c>
      <c r="L22" s="33">
        <v>147.25</v>
      </c>
      <c r="M22" s="19"/>
    </row>
    <row r="23" spans="8:13" x14ac:dyDescent="0.2">
      <c r="H23" s="17"/>
      <c r="I23" s="18" t="s">
        <v>100</v>
      </c>
      <c r="J23" s="31" t="s">
        <v>81</v>
      </c>
      <c r="K23" s="31" t="s">
        <v>90</v>
      </c>
      <c r="L23" s="33">
        <v>550.25</v>
      </c>
      <c r="M23" s="19"/>
    </row>
    <row r="24" spans="8:13" x14ac:dyDescent="0.2">
      <c r="H24" s="17"/>
      <c r="I24" s="18" t="s">
        <v>101</v>
      </c>
      <c r="J24" s="31" t="s">
        <v>85</v>
      </c>
      <c r="K24" s="31" t="s">
        <v>104</v>
      </c>
      <c r="L24" s="33">
        <v>294.5</v>
      </c>
      <c r="M24" s="19"/>
    </row>
    <row r="25" spans="8:13" x14ac:dyDescent="0.2">
      <c r="H25" s="17"/>
      <c r="I25" s="18" t="s">
        <v>102</v>
      </c>
      <c r="J25" s="31" t="s">
        <v>85</v>
      </c>
      <c r="K25" s="31" t="s">
        <v>94</v>
      </c>
      <c r="L25" s="33">
        <v>1100.5</v>
      </c>
      <c r="M25" s="19"/>
    </row>
    <row r="26" spans="8:13" x14ac:dyDescent="0.2">
      <c r="H26" s="17"/>
      <c r="I26" s="20"/>
      <c r="J26" s="20"/>
      <c r="K26" s="20"/>
      <c r="L26" s="20"/>
      <c r="M26" s="19"/>
    </row>
    <row r="27" spans="8:13" x14ac:dyDescent="0.2">
      <c r="H27" s="17"/>
      <c r="I27" s="75" t="s">
        <v>105</v>
      </c>
      <c r="J27" s="75"/>
      <c r="K27" s="20"/>
      <c r="L27" s="20"/>
      <c r="M27" s="19"/>
    </row>
    <row r="28" spans="8:13" x14ac:dyDescent="0.2">
      <c r="H28" s="17"/>
      <c r="I28" s="20"/>
      <c r="J28" s="20"/>
      <c r="K28" s="20"/>
      <c r="L28" s="20"/>
      <c r="M28" s="19"/>
    </row>
    <row r="29" spans="8:13" x14ac:dyDescent="0.2">
      <c r="H29" s="17"/>
      <c r="I29" s="20"/>
      <c r="J29" s="74" t="s">
        <v>9</v>
      </c>
      <c r="K29" s="74"/>
      <c r="L29" s="20"/>
      <c r="M29" s="19"/>
    </row>
    <row r="30" spans="8:13" x14ac:dyDescent="0.2">
      <c r="H30" s="17"/>
      <c r="I30" s="21" t="s">
        <v>32</v>
      </c>
      <c r="J30" s="21" t="s">
        <v>36</v>
      </c>
      <c r="K30" s="21" t="s">
        <v>35</v>
      </c>
      <c r="L30" s="20"/>
      <c r="M30" s="19"/>
    </row>
    <row r="31" spans="8:13" x14ac:dyDescent="0.2">
      <c r="H31" s="17"/>
      <c r="I31" s="20" t="s">
        <v>106</v>
      </c>
      <c r="J31" s="33">
        <v>32</v>
      </c>
      <c r="K31" s="33">
        <v>52</v>
      </c>
      <c r="L31" s="20"/>
      <c r="M31" s="19"/>
    </row>
    <row r="32" spans="8:13" x14ac:dyDescent="0.2">
      <c r="H32" s="17"/>
      <c r="I32" s="20" t="s">
        <v>107</v>
      </c>
      <c r="J32" s="33">
        <v>50</v>
      </c>
      <c r="K32" s="33">
        <v>70</v>
      </c>
      <c r="L32" s="20"/>
      <c r="M32" s="19"/>
    </row>
    <row r="33" spans="8:13" x14ac:dyDescent="0.2">
      <c r="H33" s="17"/>
      <c r="I33" s="20"/>
      <c r="J33" s="20"/>
      <c r="K33" s="20"/>
      <c r="L33" s="20"/>
      <c r="M33" s="19"/>
    </row>
    <row r="34" spans="8:13" x14ac:dyDescent="0.2">
      <c r="H34" s="17"/>
      <c r="I34" s="29" t="s">
        <v>108</v>
      </c>
      <c r="J34" s="34"/>
      <c r="K34" s="20"/>
      <c r="L34" s="20"/>
      <c r="M34" s="19"/>
    </row>
    <row r="35" spans="8:13" x14ac:dyDescent="0.2">
      <c r="H35" s="17"/>
      <c r="I35" s="20"/>
      <c r="J35" s="20"/>
      <c r="K35" s="20"/>
      <c r="L35" s="20"/>
      <c r="M35" s="19"/>
    </row>
    <row r="36" spans="8:13" x14ac:dyDescent="0.2">
      <c r="H36" s="17"/>
      <c r="I36" s="21" t="s">
        <v>109</v>
      </c>
      <c r="J36" s="76" t="s">
        <v>110</v>
      </c>
      <c r="K36" s="76"/>
      <c r="L36" s="20"/>
      <c r="M36" s="19"/>
    </row>
    <row r="37" spans="8:13" x14ac:dyDescent="0.2">
      <c r="H37" s="17"/>
      <c r="I37" s="20" t="s">
        <v>111</v>
      </c>
      <c r="J37" s="73" t="s">
        <v>113</v>
      </c>
      <c r="K37" s="73"/>
      <c r="L37" s="20"/>
      <c r="M37" s="19"/>
    </row>
    <row r="38" spans="8:13" x14ac:dyDescent="0.2">
      <c r="H38" s="17"/>
      <c r="I38" s="20" t="s">
        <v>112</v>
      </c>
      <c r="J38" s="73" t="s">
        <v>113</v>
      </c>
      <c r="K38" s="73"/>
      <c r="L38" s="20"/>
      <c r="M38" s="19"/>
    </row>
    <row r="39" spans="8:13" x14ac:dyDescent="0.2">
      <c r="H39" s="17"/>
      <c r="I39" s="20"/>
      <c r="J39" s="20"/>
      <c r="K39" s="20"/>
      <c r="L39" s="20"/>
      <c r="M39" s="19"/>
    </row>
    <row r="40" spans="8:13" x14ac:dyDescent="0.2">
      <c r="H40" s="17"/>
      <c r="I40" s="75" t="s">
        <v>114</v>
      </c>
      <c r="J40" s="75"/>
      <c r="K40" s="20"/>
      <c r="L40" s="20"/>
      <c r="M40" s="19"/>
    </row>
    <row r="41" spans="8:13" x14ac:dyDescent="0.2">
      <c r="H41" s="17"/>
      <c r="I41" s="20"/>
      <c r="J41" s="20"/>
      <c r="K41" s="20"/>
      <c r="L41" s="20"/>
      <c r="M41" s="19"/>
    </row>
    <row r="42" spans="8:13" x14ac:dyDescent="0.2">
      <c r="H42" s="17"/>
      <c r="I42" s="21" t="s">
        <v>98</v>
      </c>
      <c r="J42" s="74" t="s">
        <v>8</v>
      </c>
      <c r="K42" s="74"/>
      <c r="L42" s="21" t="s">
        <v>9</v>
      </c>
      <c r="M42" s="19"/>
    </row>
    <row r="43" spans="8:13" x14ac:dyDescent="0.2">
      <c r="H43" s="17"/>
      <c r="I43" s="20" t="s">
        <v>115</v>
      </c>
      <c r="J43" s="73" t="s">
        <v>25</v>
      </c>
      <c r="K43" s="73"/>
      <c r="L43" s="33">
        <v>413</v>
      </c>
      <c r="M43" s="19"/>
    </row>
    <row r="44" spans="8:13" x14ac:dyDescent="0.2">
      <c r="H44" s="17"/>
      <c r="I44" s="20" t="s">
        <v>116</v>
      </c>
      <c r="J44" s="73" t="s">
        <v>25</v>
      </c>
      <c r="K44" s="73"/>
      <c r="L44" s="33">
        <v>16</v>
      </c>
      <c r="M44" s="19"/>
    </row>
    <row r="45" spans="8:13" x14ac:dyDescent="0.2">
      <c r="H45" s="17"/>
      <c r="I45" s="20" t="s">
        <v>117</v>
      </c>
      <c r="J45" s="73" t="s">
        <v>118</v>
      </c>
      <c r="K45" s="73"/>
      <c r="L45" s="23">
        <v>7.4999999999999997E-2</v>
      </c>
      <c r="M45" s="19"/>
    </row>
    <row r="46" spans="8:13" x14ac:dyDescent="0.2">
      <c r="H46" s="17"/>
      <c r="I46" s="20" t="s">
        <v>119</v>
      </c>
      <c r="J46" s="73" t="s">
        <v>120</v>
      </c>
      <c r="K46" s="73"/>
      <c r="L46" s="33">
        <v>8.5</v>
      </c>
      <c r="M46" s="19"/>
    </row>
    <row r="47" spans="8:13" x14ac:dyDescent="0.2">
      <c r="H47" s="17"/>
      <c r="I47" s="20" t="s">
        <v>121</v>
      </c>
      <c r="J47" s="73" t="s">
        <v>16</v>
      </c>
      <c r="K47" s="73"/>
      <c r="L47" s="33">
        <v>7.2</v>
      </c>
      <c r="M47" s="19"/>
    </row>
    <row r="48" spans="8:13" x14ac:dyDescent="0.2">
      <c r="H48" s="17"/>
      <c r="I48" s="20"/>
      <c r="J48" s="20"/>
      <c r="K48" s="20"/>
      <c r="L48" s="20"/>
      <c r="M48" s="19"/>
    </row>
    <row r="49" spans="8:13" x14ac:dyDescent="0.2">
      <c r="H49" s="17"/>
      <c r="I49" s="75" t="s">
        <v>122</v>
      </c>
      <c r="J49" s="75"/>
      <c r="K49" s="20"/>
      <c r="L49" s="20"/>
      <c r="M49" s="19"/>
    </row>
    <row r="50" spans="8:13" x14ac:dyDescent="0.2">
      <c r="H50" s="17"/>
      <c r="I50" s="20"/>
      <c r="J50" s="20"/>
      <c r="K50" s="20"/>
      <c r="L50" s="20"/>
      <c r="M50" s="19"/>
    </row>
    <row r="51" spans="8:13" x14ac:dyDescent="0.2">
      <c r="H51" s="17"/>
      <c r="I51" s="21" t="s">
        <v>98</v>
      </c>
      <c r="J51" s="74" t="s">
        <v>8</v>
      </c>
      <c r="K51" s="74"/>
      <c r="L51" s="21" t="s">
        <v>9</v>
      </c>
      <c r="M51" s="19"/>
    </row>
    <row r="52" spans="8:13" x14ac:dyDescent="0.2">
      <c r="H52" s="17"/>
      <c r="I52" s="20" t="s">
        <v>123</v>
      </c>
      <c r="J52" s="73" t="s">
        <v>124</v>
      </c>
      <c r="K52" s="73"/>
      <c r="L52" s="33">
        <v>560</v>
      </c>
      <c r="M52" s="19"/>
    </row>
    <row r="53" spans="8:13" x14ac:dyDescent="0.2">
      <c r="H53" s="17"/>
      <c r="I53" s="20" t="s">
        <v>126</v>
      </c>
      <c r="J53" s="73" t="s">
        <v>125</v>
      </c>
      <c r="K53" s="73"/>
      <c r="L53" s="33">
        <v>1340</v>
      </c>
      <c r="M53" s="19"/>
    </row>
    <row r="54" spans="8:13" ht="13.5" thickBot="1" x14ac:dyDescent="0.25">
      <c r="H54" s="25"/>
      <c r="I54" s="26"/>
      <c r="J54" s="26"/>
      <c r="K54" s="26"/>
      <c r="L54" s="26"/>
      <c r="M54" s="28"/>
    </row>
  </sheetData>
  <mergeCells count="20">
    <mergeCell ref="J52:K52"/>
    <mergeCell ref="J53:K53"/>
    <mergeCell ref="J44:K44"/>
    <mergeCell ref="J45:K45"/>
    <mergeCell ref="J46:K46"/>
    <mergeCell ref="J47:K47"/>
    <mergeCell ref="I49:J49"/>
    <mergeCell ref="J51:K51"/>
    <mergeCell ref="J43:K43"/>
    <mergeCell ref="C2:D2"/>
    <mergeCell ref="J29:K29"/>
    <mergeCell ref="I19:J19"/>
    <mergeCell ref="I27:J27"/>
    <mergeCell ref="I7:J7"/>
    <mergeCell ref="I5:J5"/>
    <mergeCell ref="J36:K36"/>
    <mergeCell ref="J37:K37"/>
    <mergeCell ref="J38:K38"/>
    <mergeCell ref="I40:J40"/>
    <mergeCell ref="J42:K4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M89"/>
  <sheetViews>
    <sheetView workbookViewId="0">
      <selection activeCell="C2" sqref="C2:D2"/>
    </sheetView>
  </sheetViews>
  <sheetFormatPr defaultRowHeight="12.75" x14ac:dyDescent="0.2"/>
  <cols>
    <col min="2" max="2" width="3.7109375" customWidth="1"/>
    <col min="3" max="3" width="82.85546875" customWidth="1"/>
    <col min="4" max="4" width="45.28515625" customWidth="1"/>
    <col min="5" max="5" width="4" customWidth="1"/>
    <col min="7" max="7" width="3.7109375" customWidth="1"/>
    <col min="8" max="8" width="40.42578125" customWidth="1"/>
    <col min="9" max="12" width="25.7109375" customWidth="1"/>
    <col min="13" max="13" width="3.5703125" customWidth="1"/>
  </cols>
  <sheetData>
    <row r="1" spans="2:13" x14ac:dyDescent="0.2">
      <c r="C1" s="52" t="s">
        <v>272</v>
      </c>
    </row>
    <row r="2" spans="2:13" ht="20.25" x14ac:dyDescent="0.2">
      <c r="C2" s="72" t="s">
        <v>127</v>
      </c>
      <c r="D2" s="72"/>
    </row>
    <row r="3" spans="2:13" ht="13.5" thickBot="1" x14ac:dyDescent="0.25"/>
    <row r="4" spans="2:13" x14ac:dyDescent="0.2">
      <c r="B4" s="13"/>
      <c r="C4" s="14"/>
      <c r="D4" s="14"/>
      <c r="E4" s="16"/>
    </row>
    <row r="5" spans="2:13" x14ac:dyDescent="0.2">
      <c r="B5" s="17"/>
      <c r="C5" s="29" t="s">
        <v>129</v>
      </c>
      <c r="D5" s="20"/>
      <c r="E5" s="19"/>
    </row>
    <row r="6" spans="2:13" x14ac:dyDescent="0.2">
      <c r="B6" s="17"/>
      <c r="C6" s="20"/>
      <c r="D6" s="20"/>
      <c r="E6" s="19"/>
    </row>
    <row r="7" spans="2:13" x14ac:dyDescent="0.2">
      <c r="B7" s="17"/>
      <c r="C7" s="30" t="s">
        <v>7</v>
      </c>
      <c r="D7" s="30" t="s">
        <v>130</v>
      </c>
      <c r="E7" s="19"/>
    </row>
    <row r="8" spans="2:13" ht="25.5" x14ac:dyDescent="0.2">
      <c r="B8" s="17"/>
      <c r="C8" s="36" t="s">
        <v>131</v>
      </c>
      <c r="D8" s="33">
        <f>13820*1.1</f>
        <v>15202.000000000002</v>
      </c>
      <c r="E8" s="19"/>
    </row>
    <row r="9" spans="2:13" x14ac:dyDescent="0.2">
      <c r="B9" s="17"/>
      <c r="C9" s="37" t="s">
        <v>132</v>
      </c>
      <c r="D9" s="38">
        <f>10*1.1</f>
        <v>11</v>
      </c>
      <c r="E9" s="19"/>
    </row>
    <row r="10" spans="2:13" x14ac:dyDescent="0.2">
      <c r="B10" s="17"/>
      <c r="C10" s="37" t="s">
        <v>133</v>
      </c>
      <c r="D10" s="38">
        <f>85*1.1</f>
        <v>93.500000000000014</v>
      </c>
      <c r="E10" s="19"/>
    </row>
    <row r="11" spans="2:13" x14ac:dyDescent="0.2">
      <c r="B11" s="17"/>
      <c r="C11" s="37" t="s">
        <v>134</v>
      </c>
      <c r="D11" s="38">
        <f>7*1.1</f>
        <v>7.7000000000000011</v>
      </c>
      <c r="E11" s="19"/>
    </row>
    <row r="12" spans="2:13" ht="13.5" thickBot="1" x14ac:dyDescent="0.25">
      <c r="B12" s="25"/>
      <c r="C12" s="26"/>
      <c r="D12" s="26"/>
      <c r="E12" s="28"/>
    </row>
    <row r="13" spans="2:13" ht="13.5" thickBot="1" x14ac:dyDescent="0.25">
      <c r="B13" s="20"/>
      <c r="C13" s="20"/>
      <c r="D13" s="20"/>
      <c r="E13" s="20"/>
    </row>
    <row r="14" spans="2:13" x14ac:dyDescent="0.2">
      <c r="B14" s="13"/>
      <c r="C14" s="14"/>
      <c r="D14" s="14"/>
      <c r="E14" s="16"/>
      <c r="G14" s="13"/>
      <c r="H14" s="14"/>
      <c r="I14" s="14"/>
      <c r="J14" s="14"/>
      <c r="K14" s="14"/>
      <c r="L14" s="14"/>
      <c r="M14" s="16"/>
    </row>
    <row r="15" spans="2:13" x14ac:dyDescent="0.2">
      <c r="B15" s="17"/>
      <c r="C15" s="29" t="s">
        <v>146</v>
      </c>
      <c r="D15" s="20"/>
      <c r="E15" s="19"/>
      <c r="G15" s="17"/>
      <c r="H15" s="29" t="s">
        <v>135</v>
      </c>
      <c r="I15" s="20"/>
      <c r="J15" s="20"/>
      <c r="K15" s="20"/>
      <c r="L15" s="20"/>
      <c r="M15" s="19"/>
    </row>
    <row r="16" spans="2:13" x14ac:dyDescent="0.2">
      <c r="B16" s="17"/>
      <c r="C16" s="20"/>
      <c r="D16" s="20"/>
      <c r="E16" s="19"/>
      <c r="G16" s="17"/>
      <c r="H16" s="20"/>
      <c r="I16" s="20"/>
      <c r="J16" s="20"/>
      <c r="K16" s="20"/>
      <c r="L16" s="20"/>
      <c r="M16" s="19"/>
    </row>
    <row r="17" spans="2:13" x14ac:dyDescent="0.2">
      <c r="B17" s="17"/>
      <c r="C17" s="30" t="s">
        <v>7</v>
      </c>
      <c r="D17" s="30" t="s">
        <v>147</v>
      </c>
      <c r="E17" s="19"/>
      <c r="G17" s="17"/>
      <c r="H17" s="20"/>
      <c r="I17" s="76" t="s">
        <v>140</v>
      </c>
      <c r="J17" s="76"/>
      <c r="K17" s="76"/>
      <c r="L17" s="76"/>
      <c r="M17" s="19"/>
    </row>
    <row r="18" spans="2:13" x14ac:dyDescent="0.2">
      <c r="B18" s="17"/>
      <c r="C18" s="20" t="s">
        <v>148</v>
      </c>
      <c r="D18" s="38">
        <f>4*1.1</f>
        <v>4.4000000000000004</v>
      </c>
      <c r="E18" s="19"/>
      <c r="G18" s="17"/>
      <c r="H18" s="20"/>
      <c r="I18" s="30" t="s">
        <v>136</v>
      </c>
      <c r="J18" s="30" t="s">
        <v>137</v>
      </c>
      <c r="K18" s="30" t="s">
        <v>138</v>
      </c>
      <c r="L18" s="30" t="s">
        <v>139</v>
      </c>
      <c r="M18" s="19"/>
    </row>
    <row r="19" spans="2:13" ht="13.5" thickBot="1" x14ac:dyDescent="0.25">
      <c r="B19" s="25"/>
      <c r="C19" s="26"/>
      <c r="D19" s="26"/>
      <c r="E19" s="28"/>
      <c r="G19" s="17"/>
      <c r="H19" s="20" t="s">
        <v>141</v>
      </c>
      <c r="I19" s="38">
        <f>40.15*1.1</f>
        <v>44.164999999999999</v>
      </c>
      <c r="J19" s="38">
        <f>30.96*1.1</f>
        <v>34.056000000000004</v>
      </c>
      <c r="K19" s="38">
        <f>28.66*1.1</f>
        <v>31.526000000000003</v>
      </c>
      <c r="L19" s="38">
        <f>27.74*1.1</f>
        <v>30.513999999999999</v>
      </c>
      <c r="M19" s="19"/>
    </row>
    <row r="20" spans="2:13" ht="13.5" thickBot="1" x14ac:dyDescent="0.25">
      <c r="G20" s="17"/>
      <c r="H20" s="20" t="s">
        <v>142</v>
      </c>
      <c r="I20" s="38">
        <f>24.73*1.1</f>
        <v>27.203000000000003</v>
      </c>
      <c r="J20" s="38">
        <f>21.06*1.1</f>
        <v>23.166</v>
      </c>
      <c r="K20" s="38">
        <f>20.14*1.1</f>
        <v>22.154000000000003</v>
      </c>
      <c r="L20" s="38">
        <f>19.78*1.1</f>
        <v>21.758000000000003</v>
      </c>
      <c r="M20" s="19"/>
    </row>
    <row r="21" spans="2:13" x14ac:dyDescent="0.2">
      <c r="B21" s="13"/>
      <c r="C21" s="14"/>
      <c r="D21" s="14"/>
      <c r="E21" s="16"/>
      <c r="G21" s="17"/>
      <c r="H21" s="20" t="s">
        <v>143</v>
      </c>
      <c r="I21" s="73" t="s">
        <v>145</v>
      </c>
      <c r="J21" s="73"/>
      <c r="K21" s="73"/>
      <c r="L21" s="73"/>
      <c r="M21" s="19"/>
    </row>
    <row r="22" spans="2:13" x14ac:dyDescent="0.2">
      <c r="B22" s="17"/>
      <c r="C22" s="29" t="s">
        <v>156</v>
      </c>
      <c r="D22" s="20"/>
      <c r="E22" s="19"/>
      <c r="G22" s="17"/>
      <c r="H22" s="20" t="s">
        <v>150</v>
      </c>
      <c r="I22" s="38">
        <f>4.05*1.1</f>
        <v>4.4550000000000001</v>
      </c>
      <c r="J22" s="38">
        <f>2.58*1.1</f>
        <v>2.8380000000000005</v>
      </c>
      <c r="K22" s="38">
        <f>2.21*1.1</f>
        <v>2.431</v>
      </c>
      <c r="L22" s="38">
        <f>2.07*1.1</f>
        <v>2.2770000000000001</v>
      </c>
      <c r="M22" s="19"/>
    </row>
    <row r="23" spans="2:13" x14ac:dyDescent="0.2">
      <c r="B23" s="17"/>
      <c r="C23" s="20"/>
      <c r="D23" s="20"/>
      <c r="E23" s="19"/>
      <c r="G23" s="17"/>
      <c r="H23" s="20" t="s">
        <v>144</v>
      </c>
      <c r="I23" s="38">
        <f>3.17*1.1</f>
        <v>3.4870000000000001</v>
      </c>
      <c r="J23" s="38">
        <f>2.43*1.1</f>
        <v>2.6730000000000005</v>
      </c>
      <c r="K23" s="38">
        <f>2.25*1.1</f>
        <v>2.4750000000000001</v>
      </c>
      <c r="L23" s="38">
        <f>2.18*1.1</f>
        <v>2.3980000000000006</v>
      </c>
      <c r="M23" s="19"/>
    </row>
    <row r="24" spans="2:13" ht="13.5" thickBot="1" x14ac:dyDescent="0.25">
      <c r="B24" s="17"/>
      <c r="C24" s="30" t="s">
        <v>7</v>
      </c>
      <c r="D24" s="30" t="s">
        <v>9</v>
      </c>
      <c r="E24" s="19"/>
      <c r="G24" s="25"/>
      <c r="H24" s="26"/>
      <c r="I24" s="26"/>
      <c r="J24" s="26"/>
      <c r="K24" s="26"/>
      <c r="L24" s="26"/>
      <c r="M24" s="28"/>
    </row>
    <row r="25" spans="2:13" ht="13.5" thickBot="1" x14ac:dyDescent="0.25">
      <c r="B25" s="17"/>
      <c r="C25" s="20"/>
      <c r="D25" s="20"/>
      <c r="E25" s="19"/>
    </row>
    <row r="26" spans="2:13" x14ac:dyDescent="0.2">
      <c r="B26" s="17"/>
      <c r="C26" s="20" t="s">
        <v>157</v>
      </c>
      <c r="D26" s="33">
        <f>1770*1.1</f>
        <v>1947.0000000000002</v>
      </c>
      <c r="E26" s="19"/>
      <c r="G26" s="13"/>
      <c r="H26" s="14"/>
      <c r="I26" s="14"/>
      <c r="J26" s="14"/>
      <c r="K26" s="14"/>
      <c r="L26" s="14"/>
      <c r="M26" s="16"/>
    </row>
    <row r="27" spans="2:13" x14ac:dyDescent="0.2">
      <c r="B27" s="17"/>
      <c r="C27" s="20" t="s">
        <v>158</v>
      </c>
      <c r="D27" s="33">
        <f>6*1.1</f>
        <v>6.6000000000000005</v>
      </c>
      <c r="E27" s="19"/>
      <c r="G27" s="17"/>
      <c r="H27" s="29" t="s">
        <v>149</v>
      </c>
      <c r="I27" s="20"/>
      <c r="J27" s="20"/>
      <c r="K27" s="20"/>
      <c r="L27" s="20"/>
      <c r="M27" s="19"/>
    </row>
    <row r="28" spans="2:13" x14ac:dyDescent="0.2">
      <c r="B28" s="17"/>
      <c r="C28" s="20" t="s">
        <v>159</v>
      </c>
      <c r="D28" s="33">
        <f>12*1.1</f>
        <v>13.200000000000001</v>
      </c>
      <c r="E28" s="19"/>
      <c r="G28" s="17"/>
      <c r="H28" s="20"/>
      <c r="I28" s="30" t="s">
        <v>140</v>
      </c>
      <c r="J28" s="30" t="s">
        <v>152</v>
      </c>
      <c r="K28" s="20"/>
      <c r="L28" s="20"/>
      <c r="M28" s="19"/>
    </row>
    <row r="29" spans="2:13" ht="13.5" thickBot="1" x14ac:dyDescent="0.25">
      <c r="B29" s="25"/>
      <c r="C29" s="26"/>
      <c r="D29" s="26"/>
      <c r="E29" s="28"/>
      <c r="G29" s="17"/>
      <c r="H29" s="20"/>
      <c r="I29" s="30" t="s">
        <v>136</v>
      </c>
      <c r="J29" s="30" t="s">
        <v>151</v>
      </c>
      <c r="K29" s="20"/>
      <c r="L29" s="20"/>
      <c r="M29" s="19"/>
    </row>
    <row r="30" spans="2:13" ht="13.5" thickBot="1" x14ac:dyDescent="0.25">
      <c r="G30" s="17"/>
      <c r="H30" s="20" t="s">
        <v>141</v>
      </c>
      <c r="I30" s="38">
        <f>76*1.1</f>
        <v>83.600000000000009</v>
      </c>
      <c r="J30" s="38">
        <f>233*1.1</f>
        <v>256.3</v>
      </c>
      <c r="K30" s="20"/>
      <c r="L30" s="20"/>
      <c r="M30" s="19"/>
    </row>
    <row r="31" spans="2:13" x14ac:dyDescent="0.2">
      <c r="B31" s="13"/>
      <c r="C31" s="14"/>
      <c r="D31" s="14"/>
      <c r="E31" s="16"/>
      <c r="G31" s="17"/>
      <c r="H31" s="20" t="s">
        <v>142</v>
      </c>
      <c r="I31" s="38">
        <f>51*1.1</f>
        <v>56.1</v>
      </c>
      <c r="J31" s="38">
        <f>233*1.1</f>
        <v>256.3</v>
      </c>
      <c r="K31" s="20"/>
      <c r="L31" s="20"/>
      <c r="M31" s="19"/>
    </row>
    <row r="32" spans="2:13" x14ac:dyDescent="0.2">
      <c r="B32" s="17"/>
      <c r="C32" s="29" t="s">
        <v>108</v>
      </c>
      <c r="D32" s="20"/>
      <c r="E32" s="19"/>
      <c r="G32" s="17"/>
      <c r="H32" s="20" t="s">
        <v>150</v>
      </c>
      <c r="I32" s="38">
        <f>1.9*1.1</f>
        <v>2.09</v>
      </c>
      <c r="J32" s="39"/>
      <c r="K32" s="20"/>
      <c r="L32" s="20"/>
      <c r="M32" s="19"/>
    </row>
    <row r="33" spans="2:13" ht="13.5" thickBot="1" x14ac:dyDescent="0.25">
      <c r="B33" s="17"/>
      <c r="C33" s="20"/>
      <c r="D33" s="20"/>
      <c r="E33" s="19"/>
      <c r="G33" s="25"/>
      <c r="H33" s="26"/>
      <c r="I33" s="26"/>
      <c r="J33" s="26"/>
      <c r="K33" s="26"/>
      <c r="L33" s="26"/>
      <c r="M33" s="28"/>
    </row>
    <row r="34" spans="2:13" ht="13.5" thickBot="1" x14ac:dyDescent="0.25">
      <c r="B34" s="17"/>
      <c r="C34" s="30" t="s">
        <v>7</v>
      </c>
      <c r="D34" s="30" t="s">
        <v>9</v>
      </c>
      <c r="E34" s="19"/>
    </row>
    <row r="35" spans="2:13" x14ac:dyDescent="0.2">
      <c r="B35" s="17"/>
      <c r="C35" s="20" t="s">
        <v>160</v>
      </c>
      <c r="D35" s="33">
        <f>2.7*1.1</f>
        <v>2.9700000000000006</v>
      </c>
      <c r="E35" s="19"/>
      <c r="G35" s="13"/>
      <c r="H35" s="14"/>
      <c r="I35" s="14"/>
      <c r="J35" s="14"/>
      <c r="K35" s="14"/>
      <c r="L35" s="14"/>
      <c r="M35" s="16"/>
    </row>
    <row r="36" spans="2:13" x14ac:dyDescent="0.2">
      <c r="B36" s="17"/>
      <c r="C36" s="20" t="s">
        <v>161</v>
      </c>
      <c r="D36" s="33">
        <f>219*1.1</f>
        <v>240.9</v>
      </c>
      <c r="E36" s="19"/>
      <c r="G36" s="17"/>
      <c r="H36" s="29" t="s">
        <v>153</v>
      </c>
      <c r="I36" s="20"/>
      <c r="J36" s="20"/>
      <c r="K36" s="20"/>
      <c r="L36" s="20"/>
      <c r="M36" s="19"/>
    </row>
    <row r="37" spans="2:13" x14ac:dyDescent="0.2">
      <c r="B37" s="17"/>
      <c r="C37" s="20" t="s">
        <v>162</v>
      </c>
      <c r="D37" s="33">
        <f>129*1.1</f>
        <v>141.9</v>
      </c>
      <c r="E37" s="19"/>
      <c r="G37" s="17"/>
      <c r="H37" s="20"/>
      <c r="I37" s="20"/>
      <c r="J37" s="20"/>
      <c r="K37" s="20"/>
      <c r="L37" s="20"/>
      <c r="M37" s="19"/>
    </row>
    <row r="38" spans="2:13" x14ac:dyDescent="0.2">
      <c r="B38" s="17"/>
      <c r="C38" s="20" t="s">
        <v>164</v>
      </c>
      <c r="D38" s="33">
        <f>5.2*1.1</f>
        <v>5.7200000000000006</v>
      </c>
      <c r="E38" s="19"/>
      <c r="G38" s="17"/>
      <c r="H38" s="20"/>
      <c r="I38" s="76" t="s">
        <v>9</v>
      </c>
      <c r="J38" s="76"/>
      <c r="K38" s="76"/>
      <c r="L38" s="76"/>
      <c r="M38" s="19"/>
    </row>
    <row r="39" spans="2:13" x14ac:dyDescent="0.2">
      <c r="B39" s="17"/>
      <c r="C39" s="20" t="s">
        <v>163</v>
      </c>
      <c r="D39" s="33">
        <f>78*1.1</f>
        <v>85.800000000000011</v>
      </c>
      <c r="E39" s="19"/>
      <c r="G39" s="17"/>
      <c r="H39" s="20"/>
      <c r="I39" s="30" t="s">
        <v>136</v>
      </c>
      <c r="J39" s="30" t="s">
        <v>137</v>
      </c>
      <c r="K39" s="30" t="s">
        <v>138</v>
      </c>
      <c r="L39" s="30" t="s">
        <v>139</v>
      </c>
      <c r="M39" s="19"/>
    </row>
    <row r="40" spans="2:13" x14ac:dyDescent="0.2">
      <c r="B40" s="17"/>
      <c r="C40" s="20" t="s">
        <v>165</v>
      </c>
      <c r="D40" s="33">
        <f>11*1.1</f>
        <v>12.100000000000001</v>
      </c>
      <c r="E40" s="19"/>
      <c r="G40" s="17"/>
      <c r="H40" s="20" t="s">
        <v>154</v>
      </c>
      <c r="I40" s="38">
        <f>9.77*1.1</f>
        <v>10.747</v>
      </c>
      <c r="J40" s="38">
        <f>5.37*1.1</f>
        <v>5.9070000000000009</v>
      </c>
      <c r="K40" s="38">
        <f>4.27*1.1</f>
        <v>4.6970000000000001</v>
      </c>
      <c r="L40" s="38">
        <f>3.83*1.1</f>
        <v>4.2130000000000001</v>
      </c>
      <c r="M40" s="19"/>
    </row>
    <row r="41" spans="2:13" x14ac:dyDescent="0.2">
      <c r="B41" s="17"/>
      <c r="C41" s="20" t="s">
        <v>166</v>
      </c>
      <c r="D41" s="33">
        <f>219*1.1</f>
        <v>240.9</v>
      </c>
      <c r="E41" s="19"/>
      <c r="G41" s="17"/>
      <c r="H41" s="20" t="s">
        <v>155</v>
      </c>
      <c r="I41" s="38">
        <f>11.2*1.1</f>
        <v>12.32</v>
      </c>
      <c r="J41" s="38">
        <f>5.33*1.1</f>
        <v>5.8630000000000004</v>
      </c>
      <c r="K41" s="38">
        <f>3.87*1.1</f>
        <v>4.2570000000000006</v>
      </c>
      <c r="L41" s="38">
        <f>3.28*1.1</f>
        <v>3.6080000000000001</v>
      </c>
      <c r="M41" s="19"/>
    </row>
    <row r="42" spans="2:13" ht="13.5" thickBot="1" x14ac:dyDescent="0.25">
      <c r="B42" s="17"/>
      <c r="C42" s="20" t="s">
        <v>167</v>
      </c>
      <c r="D42" s="33">
        <f>32*1.1</f>
        <v>35.200000000000003</v>
      </c>
      <c r="E42" s="19"/>
      <c r="G42" s="25"/>
      <c r="H42" s="26"/>
      <c r="I42" s="26"/>
      <c r="J42" s="26"/>
      <c r="K42" s="26"/>
      <c r="L42" s="26"/>
      <c r="M42" s="28"/>
    </row>
    <row r="43" spans="2:13" x14ac:dyDescent="0.2">
      <c r="B43" s="17"/>
      <c r="C43" s="20" t="s">
        <v>168</v>
      </c>
      <c r="D43" s="33">
        <f>0.8*1.1</f>
        <v>0.88000000000000012</v>
      </c>
      <c r="E43" s="19"/>
    </row>
    <row r="44" spans="2:13" x14ac:dyDescent="0.2">
      <c r="B44" s="17"/>
      <c r="C44" s="20" t="s">
        <v>169</v>
      </c>
      <c r="D44" s="33">
        <f>36*1.1</f>
        <v>39.6</v>
      </c>
      <c r="E44" s="19"/>
    </row>
    <row r="45" spans="2:13" x14ac:dyDescent="0.2">
      <c r="B45" s="17"/>
      <c r="C45" s="20" t="s">
        <v>170</v>
      </c>
      <c r="D45" s="33">
        <f>356*1.1</f>
        <v>391.6</v>
      </c>
      <c r="E45" s="19"/>
    </row>
    <row r="46" spans="2:13" x14ac:dyDescent="0.2">
      <c r="B46" s="17"/>
      <c r="C46" s="20" t="s">
        <v>171</v>
      </c>
      <c r="D46" s="33">
        <f>109*1.1</f>
        <v>119.9</v>
      </c>
      <c r="E46" s="19"/>
    </row>
    <row r="47" spans="2:13" ht="13.5" thickBot="1" x14ac:dyDescent="0.25">
      <c r="B47" s="25"/>
      <c r="C47" s="26"/>
      <c r="D47" s="26"/>
      <c r="E47" s="28"/>
    </row>
    <row r="48" spans="2:13" ht="13.5" thickBot="1" x14ac:dyDescent="0.25"/>
    <row r="49" spans="2:5" x14ac:dyDescent="0.2">
      <c r="B49" s="13"/>
      <c r="C49" s="14"/>
      <c r="D49" s="14"/>
      <c r="E49" s="16"/>
    </row>
    <row r="50" spans="2:5" x14ac:dyDescent="0.2">
      <c r="B50" s="17"/>
      <c r="C50" s="29" t="s">
        <v>172</v>
      </c>
      <c r="D50" s="20"/>
      <c r="E50" s="19"/>
    </row>
    <row r="51" spans="2:5" x14ac:dyDescent="0.2">
      <c r="B51" s="17"/>
      <c r="C51" s="20"/>
      <c r="D51" s="20"/>
      <c r="E51" s="19"/>
    </row>
    <row r="52" spans="2:5" x14ac:dyDescent="0.2">
      <c r="B52" s="17"/>
      <c r="C52" s="30" t="s">
        <v>7</v>
      </c>
      <c r="D52" s="30" t="s">
        <v>173</v>
      </c>
      <c r="E52" s="19"/>
    </row>
    <row r="53" spans="2:5" x14ac:dyDescent="0.2">
      <c r="B53" s="17"/>
      <c r="C53" s="20" t="s">
        <v>174</v>
      </c>
      <c r="D53" s="33">
        <f>6.6*1.1</f>
        <v>7.26</v>
      </c>
      <c r="E53" s="19"/>
    </row>
    <row r="54" spans="2:5" x14ac:dyDescent="0.2">
      <c r="B54" s="17"/>
      <c r="C54" s="20" t="s">
        <v>175</v>
      </c>
      <c r="D54" s="33">
        <f>3812.93*1.1</f>
        <v>4194.223</v>
      </c>
      <c r="E54" s="19"/>
    </row>
    <row r="55" spans="2:5" ht="13.5" thickBot="1" x14ac:dyDescent="0.25">
      <c r="B55" s="25"/>
      <c r="C55" s="26"/>
      <c r="D55" s="26"/>
      <c r="E55" s="28"/>
    </row>
    <row r="56" spans="2:5" ht="13.5" thickBot="1" x14ac:dyDescent="0.25"/>
    <row r="57" spans="2:5" x14ac:dyDescent="0.2">
      <c r="B57" s="13"/>
      <c r="C57" s="14"/>
      <c r="D57" s="14"/>
      <c r="E57" s="16"/>
    </row>
    <row r="58" spans="2:5" x14ac:dyDescent="0.2">
      <c r="B58" s="17"/>
      <c r="C58" s="29" t="s">
        <v>176</v>
      </c>
      <c r="D58" s="20"/>
      <c r="E58" s="19"/>
    </row>
    <row r="59" spans="2:5" x14ac:dyDescent="0.2">
      <c r="B59" s="17"/>
      <c r="C59" s="20"/>
      <c r="D59" s="20"/>
      <c r="E59" s="19"/>
    </row>
    <row r="60" spans="2:5" x14ac:dyDescent="0.2">
      <c r="B60" s="17"/>
      <c r="C60" s="30" t="s">
        <v>7</v>
      </c>
      <c r="D60" s="30" t="s">
        <v>173</v>
      </c>
      <c r="E60" s="19"/>
    </row>
    <row r="61" spans="2:5" x14ac:dyDescent="0.2">
      <c r="B61" s="17"/>
      <c r="C61" s="20" t="s">
        <v>177</v>
      </c>
      <c r="D61" s="33">
        <f>764*1.1</f>
        <v>840.40000000000009</v>
      </c>
      <c r="E61" s="19"/>
    </row>
    <row r="62" spans="2:5" x14ac:dyDescent="0.2">
      <c r="B62" s="17"/>
      <c r="C62" s="20" t="s">
        <v>178</v>
      </c>
      <c r="D62" s="33">
        <f>902*1.1</f>
        <v>992.2</v>
      </c>
      <c r="E62" s="19"/>
    </row>
    <row r="63" spans="2:5" x14ac:dyDescent="0.2">
      <c r="B63" s="17"/>
      <c r="C63" s="20" t="s">
        <v>179</v>
      </c>
      <c r="D63" s="33">
        <f>19*1.1</f>
        <v>20.900000000000002</v>
      </c>
      <c r="E63" s="19"/>
    </row>
    <row r="64" spans="2:5" x14ac:dyDescent="0.2">
      <c r="B64" s="17"/>
      <c r="C64" s="20" t="s">
        <v>180</v>
      </c>
      <c r="D64" s="33">
        <f>513*1.1</f>
        <v>564.30000000000007</v>
      </c>
      <c r="E64" s="19"/>
    </row>
    <row r="65" spans="2:5" x14ac:dyDescent="0.2">
      <c r="B65" s="17"/>
      <c r="C65" s="20" t="s">
        <v>181</v>
      </c>
      <c r="D65" s="33">
        <f>297*1.1</f>
        <v>326.70000000000005</v>
      </c>
      <c r="E65" s="19"/>
    </row>
    <row r="66" spans="2:5" x14ac:dyDescent="0.2">
      <c r="B66" s="17"/>
      <c r="C66" s="20" t="s">
        <v>182</v>
      </c>
      <c r="D66" s="33">
        <f>159*1.1</f>
        <v>174.9</v>
      </c>
      <c r="E66" s="19"/>
    </row>
    <row r="67" spans="2:5" x14ac:dyDescent="0.2">
      <c r="B67" s="17"/>
      <c r="C67" s="20" t="s">
        <v>183</v>
      </c>
      <c r="D67" s="33">
        <f>348*1.1</f>
        <v>382.8</v>
      </c>
      <c r="E67" s="19"/>
    </row>
    <row r="68" spans="2:5" x14ac:dyDescent="0.2">
      <c r="B68" s="17"/>
      <c r="C68" s="20" t="s">
        <v>184</v>
      </c>
      <c r="D68" s="33">
        <f>2160*1.1</f>
        <v>2376</v>
      </c>
      <c r="E68" s="19"/>
    </row>
    <row r="69" spans="2:5" x14ac:dyDescent="0.2">
      <c r="B69" s="17"/>
      <c r="C69" s="40" t="s">
        <v>188</v>
      </c>
      <c r="D69" s="33">
        <f>5900*1.1</f>
        <v>6490.0000000000009</v>
      </c>
      <c r="E69" s="19"/>
    </row>
    <row r="70" spans="2:5" x14ac:dyDescent="0.2">
      <c r="B70" s="17"/>
      <c r="C70" s="40" t="s">
        <v>189</v>
      </c>
      <c r="D70" s="33">
        <f>3660*1.1</f>
        <v>4026.0000000000005</v>
      </c>
      <c r="E70" s="19"/>
    </row>
    <row r="71" spans="2:5" x14ac:dyDescent="0.2">
      <c r="B71" s="17"/>
      <c r="C71" s="40" t="s">
        <v>190</v>
      </c>
      <c r="D71" s="33">
        <f>7000*1.1</f>
        <v>7700.0000000000009</v>
      </c>
      <c r="E71" s="19"/>
    </row>
    <row r="72" spans="2:5" x14ac:dyDescent="0.2">
      <c r="B72" s="17"/>
      <c r="C72" s="40" t="s">
        <v>191</v>
      </c>
      <c r="D72" s="33">
        <f>3660*1.1</f>
        <v>4026.0000000000005</v>
      </c>
      <c r="E72" s="19"/>
    </row>
    <row r="73" spans="2:5" x14ac:dyDescent="0.2">
      <c r="B73" s="17"/>
      <c r="C73" s="40" t="s">
        <v>192</v>
      </c>
      <c r="D73" s="33">
        <f>7000*1.1</f>
        <v>7700.0000000000009</v>
      </c>
      <c r="E73" s="19"/>
    </row>
    <row r="74" spans="2:5" x14ac:dyDescent="0.2">
      <c r="B74" s="17"/>
      <c r="C74" s="40" t="s">
        <v>193</v>
      </c>
      <c r="D74" s="33">
        <f>3660*1.1</f>
        <v>4026.0000000000005</v>
      </c>
      <c r="E74" s="19"/>
    </row>
    <row r="75" spans="2:5" x14ac:dyDescent="0.2">
      <c r="B75" s="17"/>
      <c r="C75" s="40" t="s">
        <v>194</v>
      </c>
      <c r="D75" s="33">
        <f>870*1.1</f>
        <v>957.00000000000011</v>
      </c>
      <c r="E75" s="19"/>
    </row>
    <row r="76" spans="2:5" x14ac:dyDescent="0.2">
      <c r="B76" s="17"/>
      <c r="C76" s="40" t="s">
        <v>195</v>
      </c>
      <c r="D76" s="33">
        <f>204*1.1</f>
        <v>224.4</v>
      </c>
      <c r="E76" s="19"/>
    </row>
    <row r="77" spans="2:5" x14ac:dyDescent="0.2">
      <c r="B77" s="17"/>
      <c r="C77" s="40" t="s">
        <v>196</v>
      </c>
      <c r="D77" s="33">
        <f>1160*1.1</f>
        <v>1276</v>
      </c>
      <c r="E77" s="19"/>
    </row>
    <row r="78" spans="2:5" x14ac:dyDescent="0.2">
      <c r="B78" s="17"/>
      <c r="C78" s="40" t="s">
        <v>197</v>
      </c>
      <c r="D78" s="33">
        <f>204*1.1</f>
        <v>224.4</v>
      </c>
      <c r="E78" s="19"/>
    </row>
    <row r="79" spans="2:5" x14ac:dyDescent="0.2">
      <c r="B79" s="17"/>
      <c r="C79" s="40" t="s">
        <v>198</v>
      </c>
      <c r="D79" s="33">
        <f>204*1.1</f>
        <v>224.4</v>
      </c>
      <c r="E79" s="19"/>
    </row>
    <row r="80" spans="2:5" x14ac:dyDescent="0.2">
      <c r="B80" s="17"/>
      <c r="C80" s="40" t="s">
        <v>199</v>
      </c>
      <c r="D80" s="33">
        <f>7*1.1</f>
        <v>7.7000000000000011</v>
      </c>
      <c r="E80" s="19"/>
    </row>
    <row r="81" spans="2:5" ht="13.5" thickBot="1" x14ac:dyDescent="0.25">
      <c r="B81" s="25"/>
      <c r="C81" s="26"/>
      <c r="D81" s="26"/>
      <c r="E81" s="28"/>
    </row>
    <row r="82" spans="2:5" ht="13.5" thickBot="1" x14ac:dyDescent="0.25"/>
    <row r="83" spans="2:5" x14ac:dyDescent="0.2">
      <c r="B83" s="13"/>
      <c r="C83" s="14"/>
      <c r="D83" s="14"/>
      <c r="E83" s="16"/>
    </row>
    <row r="84" spans="2:5" x14ac:dyDescent="0.2">
      <c r="B84" s="17"/>
      <c r="C84" s="29" t="s">
        <v>185</v>
      </c>
      <c r="D84" s="20"/>
      <c r="E84" s="19"/>
    </row>
    <row r="85" spans="2:5" x14ac:dyDescent="0.2">
      <c r="B85" s="17"/>
      <c r="C85" s="20"/>
      <c r="D85" s="20"/>
      <c r="E85" s="19"/>
    </row>
    <row r="86" spans="2:5" x14ac:dyDescent="0.2">
      <c r="B86" s="17"/>
      <c r="C86" s="30" t="s">
        <v>7</v>
      </c>
      <c r="D86" s="30" t="s">
        <v>173</v>
      </c>
      <c r="E86" s="19"/>
    </row>
    <row r="87" spans="2:5" x14ac:dyDescent="0.2">
      <c r="B87" s="17"/>
      <c r="C87" s="20" t="s">
        <v>186</v>
      </c>
      <c r="D87" s="33">
        <f>1090*1.1</f>
        <v>1199</v>
      </c>
      <c r="E87" s="19"/>
    </row>
    <row r="88" spans="2:5" x14ac:dyDescent="0.2">
      <c r="B88" s="17"/>
      <c r="C88" s="20" t="s">
        <v>187</v>
      </c>
      <c r="D88" s="33">
        <f>1270*1.1</f>
        <v>1397</v>
      </c>
      <c r="E88" s="19"/>
    </row>
    <row r="89" spans="2:5" ht="13.5" thickBot="1" x14ac:dyDescent="0.25">
      <c r="B89" s="25"/>
      <c r="C89" s="26"/>
      <c r="D89" s="26"/>
      <c r="E89" s="28"/>
    </row>
  </sheetData>
  <mergeCells count="4">
    <mergeCell ref="C2:D2"/>
    <mergeCell ref="I17:L17"/>
    <mergeCell ref="I21:L21"/>
    <mergeCell ref="I38:L38"/>
  </mergeCells>
  <pageMargins left="0.7" right="0.7" top="0.75" bottom="0.75" header="0.3" footer="0.3"/>
  <pageSetup orientation="portrait" horizontalDpi="0" verticalDpi="0" r:id="rId1"/>
  <ignoredErrors>
    <ignoredError sqref="D71:D73 D77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K34"/>
  <sheetViews>
    <sheetView topLeftCell="D11" workbookViewId="0">
      <selection activeCell="N20" sqref="N20"/>
    </sheetView>
  </sheetViews>
  <sheetFormatPr defaultRowHeight="12.75" x14ac:dyDescent="0.2"/>
  <cols>
    <col min="2" max="2" width="3.7109375" customWidth="1"/>
    <col min="3" max="3" width="74.28515625" customWidth="1"/>
    <col min="4" max="4" width="12" customWidth="1"/>
    <col min="5" max="5" width="15.140625" customWidth="1"/>
    <col min="6" max="6" width="3.42578125" customWidth="1"/>
    <col min="8" max="8" width="3.28515625" customWidth="1"/>
    <col min="9" max="9" width="55" customWidth="1"/>
    <col min="10" max="10" width="22.7109375" customWidth="1"/>
    <col min="11" max="11" width="24.28515625" customWidth="1"/>
  </cols>
  <sheetData>
    <row r="1" spans="2:11" x14ac:dyDescent="0.2">
      <c r="C1" s="52" t="s">
        <v>272</v>
      </c>
    </row>
    <row r="2" spans="2:11" ht="20.25" x14ac:dyDescent="0.2">
      <c r="C2" s="72" t="s">
        <v>205</v>
      </c>
      <c r="D2" s="72"/>
    </row>
    <row r="3" spans="2:11" ht="13.5" thickBot="1" x14ac:dyDescent="0.25"/>
    <row r="4" spans="2:11" x14ac:dyDescent="0.2">
      <c r="B4" s="13"/>
      <c r="C4" s="14"/>
      <c r="D4" s="14"/>
      <c r="E4" s="14"/>
      <c r="F4" s="16"/>
      <c r="H4" s="13"/>
      <c r="I4" s="14"/>
      <c r="J4" s="14"/>
      <c r="K4" s="14"/>
    </row>
    <row r="5" spans="2:11" x14ac:dyDescent="0.2">
      <c r="B5" s="17"/>
      <c r="C5" s="29" t="s">
        <v>206</v>
      </c>
      <c r="D5" s="20"/>
      <c r="E5" s="20"/>
      <c r="F5" s="19"/>
      <c r="H5" s="17"/>
      <c r="I5" s="29" t="s">
        <v>203</v>
      </c>
      <c r="J5" s="20"/>
      <c r="K5" s="20"/>
    </row>
    <row r="6" spans="2:11" x14ac:dyDescent="0.2">
      <c r="B6" s="17"/>
      <c r="C6" s="20"/>
      <c r="D6" s="20"/>
      <c r="E6" s="20"/>
      <c r="F6" s="19"/>
      <c r="H6" s="17"/>
      <c r="I6" s="20"/>
      <c r="J6" s="20"/>
      <c r="K6" s="20"/>
    </row>
    <row r="7" spans="2:11" x14ac:dyDescent="0.2">
      <c r="B7" s="17"/>
      <c r="C7" s="20"/>
      <c r="D7" s="20"/>
      <c r="E7" s="20"/>
      <c r="F7" s="19"/>
      <c r="H7" s="17"/>
      <c r="I7" s="20"/>
      <c r="J7" s="20"/>
      <c r="K7" s="20"/>
    </row>
    <row r="8" spans="2:11" x14ac:dyDescent="0.2">
      <c r="B8" s="17"/>
      <c r="C8" s="30" t="s">
        <v>7</v>
      </c>
      <c r="D8" s="74" t="s">
        <v>9</v>
      </c>
      <c r="E8" s="74"/>
      <c r="F8" s="19"/>
      <c r="H8" s="17"/>
      <c r="I8" s="42"/>
      <c r="J8" s="76" t="s">
        <v>9</v>
      </c>
      <c r="K8" s="76"/>
    </row>
    <row r="9" spans="2:11" x14ac:dyDescent="0.2">
      <c r="B9" s="17"/>
      <c r="C9" s="20" t="s">
        <v>207</v>
      </c>
      <c r="D9" s="79">
        <f>3000*1.1</f>
        <v>3300.0000000000005</v>
      </c>
      <c r="E9" s="79"/>
      <c r="F9" s="19"/>
      <c r="H9" s="17"/>
      <c r="I9" s="30" t="s">
        <v>7</v>
      </c>
      <c r="J9" s="30" t="s">
        <v>226</v>
      </c>
      <c r="K9" s="30" t="s">
        <v>227</v>
      </c>
    </row>
    <row r="10" spans="2:11" x14ac:dyDescent="0.2">
      <c r="B10" s="17"/>
      <c r="C10" s="20"/>
      <c r="D10" s="20"/>
      <c r="E10" s="20"/>
      <c r="F10" s="19"/>
      <c r="H10" s="17"/>
      <c r="I10" s="20" t="s">
        <v>228</v>
      </c>
      <c r="J10" s="33">
        <f>20000*1.1</f>
        <v>22000</v>
      </c>
      <c r="K10" s="33">
        <f>10000*1.1</f>
        <v>11000</v>
      </c>
    </row>
    <row r="11" spans="2:11" ht="13.5" thickBot="1" x14ac:dyDescent="0.25">
      <c r="B11" s="17"/>
      <c r="C11" s="30" t="s">
        <v>208</v>
      </c>
      <c r="D11" s="74" t="s">
        <v>209</v>
      </c>
      <c r="E11" s="74"/>
      <c r="F11" s="19"/>
      <c r="H11" s="25"/>
      <c r="I11" s="26"/>
      <c r="J11" s="26"/>
      <c r="K11" s="26"/>
    </row>
    <row r="12" spans="2:11" x14ac:dyDescent="0.2">
      <c r="B12" s="17"/>
      <c r="C12" s="20" t="s">
        <v>210</v>
      </c>
      <c r="D12" s="80" t="s">
        <v>113</v>
      </c>
      <c r="E12" s="80"/>
      <c r="F12" s="19"/>
    </row>
    <row r="13" spans="2:11" x14ac:dyDescent="0.2">
      <c r="B13" s="17"/>
      <c r="C13" s="20" t="s">
        <v>211</v>
      </c>
      <c r="D13" s="81">
        <f>0.06*1.1</f>
        <v>6.6000000000000003E-2</v>
      </c>
      <c r="E13" s="81"/>
      <c r="F13" s="19"/>
      <c r="I13" s="53" t="s">
        <v>282</v>
      </c>
    </row>
    <row r="14" spans="2:11" ht="13.5" thickBot="1" x14ac:dyDescent="0.25">
      <c r="B14" s="17"/>
      <c r="C14" s="20" t="s">
        <v>212</v>
      </c>
      <c r="D14" s="81">
        <f>0.048*1.1</f>
        <v>5.2800000000000007E-2</v>
      </c>
      <c r="E14" s="81"/>
      <c r="F14" s="19"/>
    </row>
    <row r="15" spans="2:11" ht="13.5" thickBot="1" x14ac:dyDescent="0.25">
      <c r="B15" s="17"/>
      <c r="C15" s="41" t="s">
        <v>213</v>
      </c>
      <c r="D15" s="81">
        <f>0.036*1.1</f>
        <v>3.9600000000000003E-2</v>
      </c>
      <c r="E15" s="81"/>
      <c r="F15" s="19"/>
      <c r="H15" s="54"/>
      <c r="I15" s="82" t="s">
        <v>273</v>
      </c>
      <c r="J15" s="83"/>
      <c r="K15" s="83"/>
    </row>
    <row r="16" spans="2:11" ht="25.5" x14ac:dyDescent="0.2">
      <c r="B16" s="17"/>
      <c r="C16" s="20" t="s">
        <v>214</v>
      </c>
      <c r="D16" s="81">
        <f>0.03*1.1</f>
        <v>3.3000000000000002E-2</v>
      </c>
      <c r="E16" s="81"/>
      <c r="F16" s="19"/>
      <c r="H16" s="54"/>
      <c r="I16" s="55" t="s">
        <v>274</v>
      </c>
      <c r="J16" s="56" t="s">
        <v>283</v>
      </c>
      <c r="K16" s="56" t="s">
        <v>284</v>
      </c>
    </row>
    <row r="17" spans="2:11" x14ac:dyDescent="0.2">
      <c r="B17" s="17"/>
      <c r="C17" s="20" t="s">
        <v>215</v>
      </c>
      <c r="D17" s="81">
        <f>0.026*1.1</f>
        <v>2.86E-2</v>
      </c>
      <c r="E17" s="81"/>
      <c r="F17" s="19"/>
      <c r="H17" s="54"/>
      <c r="I17" s="57" t="s">
        <v>275</v>
      </c>
      <c r="J17" s="58">
        <v>6269.1374999999998</v>
      </c>
      <c r="K17" s="59">
        <v>5015.3100000000004</v>
      </c>
    </row>
    <row r="18" spans="2:11" ht="13.5" thickBot="1" x14ac:dyDescent="0.25">
      <c r="B18" s="25"/>
      <c r="C18" s="26"/>
      <c r="D18" s="26"/>
      <c r="E18" s="26"/>
      <c r="F18" s="28"/>
      <c r="H18" s="54"/>
      <c r="I18" s="57" t="s">
        <v>276</v>
      </c>
      <c r="J18" s="58">
        <v>9246.25</v>
      </c>
      <c r="K18" s="59">
        <v>7397</v>
      </c>
    </row>
    <row r="19" spans="2:11" ht="13.5" thickBot="1" x14ac:dyDescent="0.25">
      <c r="H19" s="54"/>
      <c r="I19" s="57" t="s">
        <v>277</v>
      </c>
      <c r="J19" s="58">
        <v>3097.5</v>
      </c>
      <c r="K19" s="59">
        <v>2478</v>
      </c>
    </row>
    <row r="20" spans="2:11" x14ac:dyDescent="0.2">
      <c r="B20" s="13"/>
      <c r="C20" s="14"/>
      <c r="D20" s="14"/>
      <c r="E20" s="14"/>
      <c r="F20" s="16"/>
      <c r="H20" s="54"/>
      <c r="I20" s="57" t="s">
        <v>278</v>
      </c>
      <c r="J20" s="58">
        <v>3127.5</v>
      </c>
      <c r="K20" s="59">
        <v>2502</v>
      </c>
    </row>
    <row r="21" spans="2:11" x14ac:dyDescent="0.2">
      <c r="B21" s="17"/>
      <c r="C21" s="29" t="s">
        <v>216</v>
      </c>
      <c r="D21" s="20"/>
      <c r="E21" s="20"/>
      <c r="F21" s="19"/>
      <c r="H21" s="54"/>
      <c r="I21" s="57" t="s">
        <v>279</v>
      </c>
      <c r="J21" s="58">
        <v>312.5</v>
      </c>
      <c r="K21" s="59">
        <v>250</v>
      </c>
    </row>
    <row r="22" spans="2:11" x14ac:dyDescent="0.2">
      <c r="B22" s="17"/>
      <c r="C22" s="20"/>
      <c r="D22" s="20"/>
      <c r="E22" s="20"/>
      <c r="F22" s="19"/>
      <c r="H22" s="54"/>
      <c r="I22" s="60"/>
      <c r="J22" s="61"/>
      <c r="K22" s="61"/>
    </row>
    <row r="23" spans="2:11" ht="13.5" thickBot="1" x14ac:dyDescent="0.25">
      <c r="B23" s="17"/>
      <c r="C23" s="20"/>
      <c r="D23" s="20"/>
      <c r="E23" s="20"/>
      <c r="F23" s="19"/>
      <c r="H23" s="54"/>
      <c r="I23" s="77" t="s">
        <v>280</v>
      </c>
      <c r="J23" s="78"/>
      <c r="K23" s="78"/>
    </row>
    <row r="24" spans="2:11" ht="25.5" x14ac:dyDescent="0.2">
      <c r="B24" s="17"/>
      <c r="C24" s="30" t="s">
        <v>7</v>
      </c>
      <c r="D24" s="74" t="s">
        <v>9</v>
      </c>
      <c r="E24" s="74"/>
      <c r="F24" s="19"/>
      <c r="H24" s="54"/>
      <c r="I24" s="62" t="s">
        <v>274</v>
      </c>
      <c r="J24" s="56" t="s">
        <v>283</v>
      </c>
      <c r="K24" s="56" t="s">
        <v>284</v>
      </c>
    </row>
    <row r="25" spans="2:11" x14ac:dyDescent="0.2">
      <c r="B25" s="17"/>
      <c r="C25" s="20" t="s">
        <v>217</v>
      </c>
      <c r="D25" s="79">
        <f>3500*1.1</f>
        <v>3850.0000000000005</v>
      </c>
      <c r="E25" s="79"/>
      <c r="F25" s="19"/>
      <c r="H25" s="54"/>
      <c r="I25" s="63" t="s">
        <v>275</v>
      </c>
      <c r="J25" s="58">
        <v>652.125</v>
      </c>
      <c r="K25" s="64">
        <v>521.70000000000005</v>
      </c>
    </row>
    <row r="26" spans="2:11" x14ac:dyDescent="0.2">
      <c r="B26" s="17"/>
      <c r="C26" s="20"/>
      <c r="D26" s="20"/>
      <c r="E26" s="20"/>
      <c r="F26" s="19"/>
      <c r="H26" s="54"/>
      <c r="I26" s="65" t="s">
        <v>276</v>
      </c>
      <c r="J26" s="58">
        <v>948.53750000000002</v>
      </c>
      <c r="K26" s="64">
        <v>758.83</v>
      </c>
    </row>
    <row r="27" spans="2:11" x14ac:dyDescent="0.2">
      <c r="B27" s="17"/>
      <c r="C27" s="30" t="s">
        <v>219</v>
      </c>
      <c r="D27" s="74" t="s">
        <v>218</v>
      </c>
      <c r="E27" s="74"/>
      <c r="F27" s="19"/>
      <c r="H27" s="54"/>
      <c r="I27" s="66" t="s">
        <v>281</v>
      </c>
      <c r="J27" s="58">
        <v>1117.925</v>
      </c>
      <c r="K27" s="64">
        <v>894.34</v>
      </c>
    </row>
    <row r="28" spans="2:11" x14ac:dyDescent="0.2">
      <c r="B28" s="17"/>
      <c r="C28" s="20" t="s">
        <v>220</v>
      </c>
      <c r="D28" s="80" t="s">
        <v>113</v>
      </c>
      <c r="E28" s="80"/>
      <c r="F28" s="19"/>
      <c r="H28" s="54"/>
      <c r="I28" s="66" t="s">
        <v>277</v>
      </c>
      <c r="J28" s="58">
        <v>629.28750000000002</v>
      </c>
      <c r="K28" s="64">
        <v>503.43</v>
      </c>
    </row>
    <row r="29" spans="2:11" ht="13.5" thickBot="1" x14ac:dyDescent="0.25">
      <c r="B29" s="17"/>
      <c r="C29" s="20" t="s">
        <v>222</v>
      </c>
      <c r="D29" s="79">
        <f>28*1.1</f>
        <v>30.800000000000004</v>
      </c>
      <c r="E29" s="79"/>
      <c r="F29" s="19"/>
      <c r="H29" s="54"/>
      <c r="I29" s="67" t="s">
        <v>279</v>
      </c>
      <c r="J29" s="68">
        <v>312.5</v>
      </c>
      <c r="K29" s="69">
        <v>250</v>
      </c>
    </row>
    <row r="30" spans="2:11" x14ac:dyDescent="0.2">
      <c r="B30" s="17"/>
      <c r="C30" s="20" t="s">
        <v>221</v>
      </c>
      <c r="D30" s="79">
        <f>22*1.1</f>
        <v>24.200000000000003</v>
      </c>
      <c r="E30" s="79"/>
      <c r="F30" s="19"/>
    </row>
    <row r="31" spans="2:11" x14ac:dyDescent="0.2">
      <c r="B31" s="17"/>
      <c r="C31" s="41" t="s">
        <v>223</v>
      </c>
      <c r="D31" s="79">
        <f>17*1.1</f>
        <v>18.700000000000003</v>
      </c>
      <c r="E31" s="79"/>
      <c r="F31" s="19"/>
    </row>
    <row r="32" spans="2:11" x14ac:dyDescent="0.2">
      <c r="B32" s="17"/>
      <c r="C32" s="20" t="s">
        <v>224</v>
      </c>
      <c r="D32" s="79">
        <f>15*1.1</f>
        <v>16.5</v>
      </c>
      <c r="E32" s="79"/>
      <c r="F32" s="19"/>
    </row>
    <row r="33" spans="2:6" x14ac:dyDescent="0.2">
      <c r="B33" s="17"/>
      <c r="C33" s="20" t="s">
        <v>225</v>
      </c>
      <c r="D33" s="79">
        <f>9*1.1</f>
        <v>9.9</v>
      </c>
      <c r="E33" s="79"/>
      <c r="F33" s="19"/>
    </row>
    <row r="34" spans="2:6" ht="13.5" thickBot="1" x14ac:dyDescent="0.25">
      <c r="B34" s="25"/>
      <c r="C34" s="26"/>
      <c r="D34" s="26"/>
      <c r="E34" s="26"/>
      <c r="F34" s="28"/>
    </row>
  </sheetData>
  <mergeCells count="22">
    <mergeCell ref="I15:K15"/>
    <mergeCell ref="C2:D2"/>
    <mergeCell ref="D8:E8"/>
    <mergeCell ref="D9:E9"/>
    <mergeCell ref="D11:E11"/>
    <mergeCell ref="D12:E12"/>
    <mergeCell ref="I23:K23"/>
    <mergeCell ref="D33:E33"/>
    <mergeCell ref="J8:K8"/>
    <mergeCell ref="D27:E27"/>
    <mergeCell ref="D28:E28"/>
    <mergeCell ref="D29:E29"/>
    <mergeCell ref="D30:E30"/>
    <mergeCell ref="D31:E31"/>
    <mergeCell ref="D32:E32"/>
    <mergeCell ref="D14:E14"/>
    <mergeCell ref="D15:E15"/>
    <mergeCell ref="D16:E16"/>
    <mergeCell ref="D17:E17"/>
    <mergeCell ref="D24:E24"/>
    <mergeCell ref="D25:E25"/>
    <mergeCell ref="D13:E13"/>
  </mergeCells>
  <pageMargins left="0.7" right="0.7" top="0.75" bottom="0.75" header="0.3" footer="0.3"/>
  <pageSetup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4" workbookViewId="0">
      <selection activeCell="G1" sqref="A1:XFD1048576"/>
    </sheetView>
  </sheetViews>
  <sheetFormatPr defaultRowHeight="12.75" x14ac:dyDescent="0.2"/>
  <cols>
    <col min="1" max="1" width="22.28515625" customWidth="1"/>
    <col min="2" max="2" width="43.85546875" customWidth="1"/>
    <col min="3" max="3" width="39.42578125" customWidth="1"/>
    <col min="4" max="4" width="15.7109375" customWidth="1"/>
    <col min="5" max="5" width="39.85546875" customWidth="1"/>
    <col min="6" max="6" width="27" customWidth="1"/>
    <col min="7" max="7" width="35" customWidth="1"/>
    <col min="8" max="8" width="25" customWidth="1"/>
    <col min="9" max="9" width="28" customWidth="1"/>
  </cols>
  <sheetData>
    <row r="1" spans="1:9" x14ac:dyDescent="0.2">
      <c r="A1" t="s">
        <v>285</v>
      </c>
    </row>
    <row r="2" spans="1:9" x14ac:dyDescent="0.2">
      <c r="A2" t="s">
        <v>286</v>
      </c>
      <c r="B2" t="s">
        <v>287</v>
      </c>
      <c r="C2" t="s">
        <v>288</v>
      </c>
      <c r="D2" t="s">
        <v>289</v>
      </c>
    </row>
    <row r="3" spans="1:9" x14ac:dyDescent="0.2">
      <c r="A3" t="s">
        <v>290</v>
      </c>
      <c r="B3" t="s">
        <v>291</v>
      </c>
      <c r="C3" s="70">
        <v>14.95</v>
      </c>
      <c r="D3" s="70">
        <v>11.96</v>
      </c>
    </row>
    <row r="4" spans="1:9" x14ac:dyDescent="0.2">
      <c r="A4" t="s">
        <v>292</v>
      </c>
      <c r="B4" t="s">
        <v>293</v>
      </c>
      <c r="C4" s="70">
        <v>14.95</v>
      </c>
      <c r="D4" s="70">
        <v>11.96</v>
      </c>
    </row>
    <row r="5" spans="1:9" x14ac:dyDescent="0.2">
      <c r="A5" t="s">
        <v>294</v>
      </c>
      <c r="B5" t="s">
        <v>295</v>
      </c>
      <c r="C5" s="70">
        <v>14.95</v>
      </c>
      <c r="D5" s="70">
        <v>11.96</v>
      </c>
    </row>
    <row r="6" spans="1:9" x14ac:dyDescent="0.2">
      <c r="A6" t="s">
        <v>296</v>
      </c>
      <c r="B6" t="s">
        <v>297</v>
      </c>
      <c r="C6" s="70">
        <v>14.95</v>
      </c>
      <c r="D6" s="70">
        <v>11.96</v>
      </c>
    </row>
    <row r="7" spans="1:9" x14ac:dyDescent="0.2">
      <c r="A7" t="s">
        <v>298</v>
      </c>
      <c r="B7" t="s">
        <v>299</v>
      </c>
      <c r="C7" s="70">
        <v>14.95</v>
      </c>
      <c r="D7" s="70">
        <v>11.96</v>
      </c>
    </row>
    <row r="8" spans="1:9" x14ac:dyDescent="0.2">
      <c r="A8" t="s">
        <v>300</v>
      </c>
      <c r="B8" t="s">
        <v>301</v>
      </c>
      <c r="C8" s="70">
        <v>6.95</v>
      </c>
      <c r="D8" s="70">
        <v>5.56</v>
      </c>
    </row>
    <row r="9" spans="1:9" x14ac:dyDescent="0.2">
      <c r="A9" t="s">
        <v>302</v>
      </c>
      <c r="B9" t="s">
        <v>303</v>
      </c>
      <c r="C9" s="70">
        <v>3.95</v>
      </c>
      <c r="D9" s="70">
        <v>3.16</v>
      </c>
    </row>
    <row r="12" spans="1:9" x14ac:dyDescent="0.2">
      <c r="A12" t="s">
        <v>304</v>
      </c>
      <c r="B12" t="s">
        <v>305</v>
      </c>
      <c r="C12" t="s">
        <v>306</v>
      </c>
      <c r="D12" t="s">
        <v>307</v>
      </c>
      <c r="E12" t="s">
        <v>308</v>
      </c>
      <c r="F12" t="s">
        <v>309</v>
      </c>
      <c r="G12" t="s">
        <v>310</v>
      </c>
      <c r="H12" t="s">
        <v>311</v>
      </c>
      <c r="I12" t="s">
        <v>312</v>
      </c>
    </row>
    <row r="13" spans="1:9" x14ac:dyDescent="0.2">
      <c r="A13" t="s">
        <v>313</v>
      </c>
      <c r="B13" s="70">
        <v>14.95</v>
      </c>
      <c r="C13" s="70">
        <v>11.96</v>
      </c>
      <c r="D13" s="70">
        <v>19.989999999999998</v>
      </c>
      <c r="E13" s="70">
        <v>15.99</v>
      </c>
      <c r="F13" s="70">
        <v>24.95</v>
      </c>
      <c r="G13" s="70">
        <v>19.96</v>
      </c>
      <c r="H13" s="70">
        <v>27.95</v>
      </c>
      <c r="I13" s="70">
        <v>22.36</v>
      </c>
    </row>
    <row r="14" spans="1:9" x14ac:dyDescent="0.2">
      <c r="A14" t="s">
        <v>314</v>
      </c>
      <c r="B14" s="70">
        <v>18.95</v>
      </c>
      <c r="C14" s="70">
        <v>15.16</v>
      </c>
      <c r="D14" s="70">
        <v>23.99</v>
      </c>
      <c r="E14" s="70">
        <v>19.190000000000001</v>
      </c>
      <c r="F14" s="70">
        <v>29.95</v>
      </c>
      <c r="G14" s="70">
        <v>23.96</v>
      </c>
      <c r="H14" s="70">
        <v>31.95</v>
      </c>
      <c r="I14" s="70">
        <v>25.56</v>
      </c>
    </row>
    <row r="15" spans="1:9" x14ac:dyDescent="0.2">
      <c r="A15" t="s">
        <v>315</v>
      </c>
      <c r="B15" s="70">
        <v>21.95</v>
      </c>
      <c r="C15" s="70">
        <v>17.559999999999999</v>
      </c>
      <c r="D15" s="70">
        <v>26.99</v>
      </c>
      <c r="E15" s="70">
        <v>21.59</v>
      </c>
      <c r="F15" s="70">
        <v>31.95</v>
      </c>
      <c r="G15" s="70">
        <v>25.56</v>
      </c>
      <c r="H15" s="70">
        <v>33.950000000000003</v>
      </c>
      <c r="I15" s="70">
        <v>27.16</v>
      </c>
    </row>
    <row r="16" spans="1:9" x14ac:dyDescent="0.2">
      <c r="A16" t="s">
        <v>316</v>
      </c>
      <c r="B16" s="70">
        <v>29.95</v>
      </c>
      <c r="C16" s="70">
        <v>23.96</v>
      </c>
      <c r="D16" s="70">
        <v>34.99</v>
      </c>
      <c r="E16" s="70">
        <v>27.99</v>
      </c>
      <c r="F16" s="70">
        <v>39.950000000000003</v>
      </c>
      <c r="G16" s="70">
        <v>31.96</v>
      </c>
      <c r="H16" s="70">
        <v>41.95</v>
      </c>
      <c r="I16" s="70">
        <v>33.56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E34"/>
  <sheetViews>
    <sheetView workbookViewId="0">
      <selection activeCell="C2" sqref="C2:D2"/>
    </sheetView>
  </sheetViews>
  <sheetFormatPr defaultRowHeight="12.75" x14ac:dyDescent="0.2"/>
  <cols>
    <col min="2" max="2" width="3.28515625" customWidth="1"/>
    <col min="3" max="3" width="59.7109375" customWidth="1"/>
    <col min="4" max="4" width="30.140625" customWidth="1"/>
    <col min="5" max="5" width="4.42578125" customWidth="1"/>
  </cols>
  <sheetData>
    <row r="1" spans="2:5" x14ac:dyDescent="0.2">
      <c r="C1" s="52" t="s">
        <v>272</v>
      </c>
    </row>
    <row r="2" spans="2:5" ht="20.25" x14ac:dyDescent="0.2">
      <c r="C2" s="72" t="s">
        <v>232</v>
      </c>
      <c r="D2" s="72"/>
    </row>
    <row r="3" spans="2:5" ht="13.5" thickBot="1" x14ac:dyDescent="0.25"/>
    <row r="4" spans="2:5" x14ac:dyDescent="0.2">
      <c r="B4" s="13"/>
      <c r="C4" s="14"/>
      <c r="D4" s="14"/>
      <c r="E4" s="16"/>
    </row>
    <row r="5" spans="2:5" x14ac:dyDescent="0.2">
      <c r="B5" s="17"/>
      <c r="C5" s="29" t="s">
        <v>234</v>
      </c>
      <c r="D5" s="20"/>
      <c r="E5" s="19"/>
    </row>
    <row r="6" spans="2:5" x14ac:dyDescent="0.2">
      <c r="B6" s="17"/>
      <c r="C6" s="20"/>
      <c r="D6" s="20"/>
      <c r="E6" s="19"/>
    </row>
    <row r="7" spans="2:5" x14ac:dyDescent="0.2">
      <c r="B7" s="17"/>
      <c r="C7" s="20"/>
      <c r="D7" s="20"/>
      <c r="E7" s="19"/>
    </row>
    <row r="8" spans="2:5" x14ac:dyDescent="0.2">
      <c r="B8" s="17"/>
      <c r="C8" s="30" t="s">
        <v>7</v>
      </c>
      <c r="D8" s="30" t="s">
        <v>233</v>
      </c>
      <c r="E8" s="43"/>
    </row>
    <row r="9" spans="2:5" x14ac:dyDescent="0.2">
      <c r="B9" s="17"/>
      <c r="C9" s="20" t="s">
        <v>235</v>
      </c>
      <c r="D9" s="33">
        <f>2.5*1.1</f>
        <v>2.75</v>
      </c>
      <c r="E9" s="19"/>
    </row>
    <row r="10" spans="2:5" x14ac:dyDescent="0.2">
      <c r="B10" s="17"/>
      <c r="C10" s="20" t="s">
        <v>236</v>
      </c>
      <c r="D10" s="33">
        <f>1.76*1.1</f>
        <v>1.9360000000000002</v>
      </c>
      <c r="E10" s="19"/>
    </row>
    <row r="11" spans="2:5" x14ac:dyDescent="0.2">
      <c r="B11" s="17"/>
      <c r="C11" s="20" t="s">
        <v>237</v>
      </c>
      <c r="D11" s="33">
        <f>2*1.1</f>
        <v>2.2000000000000002</v>
      </c>
      <c r="E11" s="19"/>
    </row>
    <row r="12" spans="2:5" x14ac:dyDescent="0.2">
      <c r="B12" s="17"/>
      <c r="C12" s="20" t="s">
        <v>238</v>
      </c>
      <c r="D12" s="33">
        <f>2.36*1.1</f>
        <v>2.5960000000000001</v>
      </c>
      <c r="E12" s="19"/>
    </row>
    <row r="13" spans="2:5" x14ac:dyDescent="0.2">
      <c r="B13" s="17"/>
      <c r="C13" s="20" t="s">
        <v>239</v>
      </c>
      <c r="D13" s="33">
        <f>3*1.1</f>
        <v>3.3000000000000003</v>
      </c>
      <c r="E13" s="19"/>
    </row>
    <row r="14" spans="2:5" x14ac:dyDescent="0.2">
      <c r="B14" s="17"/>
      <c r="C14" s="20"/>
      <c r="D14" s="33"/>
      <c r="E14" s="19"/>
    </row>
    <row r="15" spans="2:5" x14ac:dyDescent="0.2">
      <c r="B15" s="17"/>
      <c r="C15" s="30" t="s">
        <v>7</v>
      </c>
      <c r="D15" s="30" t="s">
        <v>9</v>
      </c>
      <c r="E15" s="19"/>
    </row>
    <row r="16" spans="2:5" x14ac:dyDescent="0.2">
      <c r="B16" s="17"/>
      <c r="C16" s="45" t="s">
        <v>241</v>
      </c>
      <c r="D16" s="47">
        <f>0.45*1.1</f>
        <v>0.49500000000000005</v>
      </c>
      <c r="E16" s="19"/>
    </row>
    <row r="17" spans="2:5" x14ac:dyDescent="0.2">
      <c r="B17" s="17"/>
      <c r="C17" s="46" t="s">
        <v>242</v>
      </c>
      <c r="D17" s="47">
        <f>1.45*1.1</f>
        <v>1.595</v>
      </c>
      <c r="E17" s="19"/>
    </row>
    <row r="18" spans="2:5" ht="13.5" thickBot="1" x14ac:dyDescent="0.25">
      <c r="B18" s="25"/>
      <c r="C18" s="26"/>
      <c r="D18" s="26"/>
      <c r="E18" s="28"/>
    </row>
    <row r="19" spans="2:5" ht="13.5" thickBot="1" x14ac:dyDescent="0.25"/>
    <row r="20" spans="2:5" x14ac:dyDescent="0.2">
      <c r="B20" s="13"/>
      <c r="C20" s="14"/>
      <c r="D20" s="14"/>
      <c r="E20" s="16"/>
    </row>
    <row r="21" spans="2:5" x14ac:dyDescent="0.2">
      <c r="B21" s="17"/>
      <c r="C21" s="29" t="s">
        <v>240</v>
      </c>
      <c r="D21" s="20"/>
      <c r="E21" s="19"/>
    </row>
    <row r="22" spans="2:5" x14ac:dyDescent="0.2">
      <c r="B22" s="17"/>
      <c r="C22" s="20"/>
      <c r="D22" s="20"/>
      <c r="E22" s="19"/>
    </row>
    <row r="23" spans="2:5" x14ac:dyDescent="0.2">
      <c r="B23" s="17"/>
      <c r="C23" s="20"/>
      <c r="D23" s="20"/>
      <c r="E23" s="19"/>
    </row>
    <row r="24" spans="2:5" x14ac:dyDescent="0.2">
      <c r="B24" s="17"/>
      <c r="C24" s="30" t="s">
        <v>7</v>
      </c>
      <c r="D24" s="30" t="s">
        <v>233</v>
      </c>
      <c r="E24" s="19"/>
    </row>
    <row r="25" spans="2:5" x14ac:dyDescent="0.2">
      <c r="B25" s="17"/>
      <c r="C25" s="20" t="s">
        <v>235</v>
      </c>
      <c r="D25" s="33">
        <f>1.8*1.1</f>
        <v>1.9800000000000002</v>
      </c>
      <c r="E25" s="19"/>
    </row>
    <row r="26" spans="2:5" x14ac:dyDescent="0.2">
      <c r="B26" s="17"/>
      <c r="C26" s="20" t="s">
        <v>236</v>
      </c>
      <c r="D26" s="33">
        <f>1.2*1.1</f>
        <v>1.32</v>
      </c>
      <c r="E26" s="19"/>
    </row>
    <row r="27" spans="2:5" x14ac:dyDescent="0.2">
      <c r="B27" s="17"/>
      <c r="C27" s="20" t="s">
        <v>237</v>
      </c>
      <c r="D27" s="33">
        <f>1.41*1.1</f>
        <v>1.5509999999999999</v>
      </c>
      <c r="E27" s="19"/>
    </row>
    <row r="28" spans="2:5" x14ac:dyDescent="0.2">
      <c r="B28" s="17"/>
      <c r="C28" s="20" t="s">
        <v>238</v>
      </c>
      <c r="D28" s="33">
        <f>1.6*1.1</f>
        <v>1.7600000000000002</v>
      </c>
      <c r="E28" s="19"/>
    </row>
    <row r="29" spans="2:5" x14ac:dyDescent="0.2">
      <c r="B29" s="17"/>
      <c r="C29" s="20" t="s">
        <v>239</v>
      </c>
      <c r="D29" s="33">
        <f>2*1.1</f>
        <v>2.2000000000000002</v>
      </c>
      <c r="E29" s="19"/>
    </row>
    <row r="30" spans="2:5" x14ac:dyDescent="0.2">
      <c r="B30" s="17"/>
      <c r="C30" s="20"/>
      <c r="D30" s="33"/>
      <c r="E30" s="19"/>
    </row>
    <row r="31" spans="2:5" x14ac:dyDescent="0.2">
      <c r="B31" s="17"/>
      <c r="C31" s="30" t="s">
        <v>7</v>
      </c>
      <c r="D31" s="30" t="s">
        <v>9</v>
      </c>
      <c r="E31" s="19"/>
    </row>
    <row r="32" spans="2:5" x14ac:dyDescent="0.2">
      <c r="B32" s="17"/>
      <c r="C32" s="45" t="s">
        <v>241</v>
      </c>
      <c r="D32" s="47">
        <f>0.35*1.1</f>
        <v>0.38500000000000001</v>
      </c>
      <c r="E32" s="19"/>
    </row>
    <row r="33" spans="2:5" x14ac:dyDescent="0.2">
      <c r="B33" s="17"/>
      <c r="C33" s="46" t="s">
        <v>242</v>
      </c>
      <c r="D33" s="47">
        <f>1.45*1.1</f>
        <v>1.595</v>
      </c>
      <c r="E33" s="19"/>
    </row>
    <row r="34" spans="2:5" ht="13.5" thickBot="1" x14ac:dyDescent="0.25">
      <c r="B34" s="25"/>
      <c r="C34" s="26"/>
      <c r="D34" s="26"/>
      <c r="E34" s="28"/>
    </row>
  </sheetData>
  <mergeCells count="1">
    <mergeCell ref="C2:D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E18"/>
  <sheetViews>
    <sheetView workbookViewId="0">
      <selection activeCell="C2" sqref="C2:D2"/>
    </sheetView>
  </sheetViews>
  <sheetFormatPr defaultRowHeight="12.75" x14ac:dyDescent="0.2"/>
  <cols>
    <col min="2" max="2" width="3.28515625" customWidth="1"/>
    <col min="3" max="3" width="59.7109375" customWidth="1"/>
    <col min="4" max="4" width="30.140625" customWidth="1"/>
    <col min="5" max="5" width="4.42578125" customWidth="1"/>
  </cols>
  <sheetData>
    <row r="1" spans="2:5" x14ac:dyDescent="0.2">
      <c r="C1" s="52" t="s">
        <v>272</v>
      </c>
    </row>
    <row r="2" spans="2:5" ht="20.25" x14ac:dyDescent="0.2">
      <c r="C2" s="72" t="s">
        <v>232</v>
      </c>
      <c r="D2" s="72"/>
    </row>
    <row r="3" spans="2:5" ht="13.5" thickBot="1" x14ac:dyDescent="0.25"/>
    <row r="4" spans="2:5" x14ac:dyDescent="0.2">
      <c r="B4" s="13"/>
      <c r="C4" s="14"/>
      <c r="D4" s="14"/>
      <c r="E4" s="16"/>
    </row>
    <row r="5" spans="2:5" x14ac:dyDescent="0.2">
      <c r="B5" s="17"/>
      <c r="C5" s="29" t="s">
        <v>245</v>
      </c>
      <c r="D5" s="20"/>
      <c r="E5" s="19"/>
    </row>
    <row r="6" spans="2:5" x14ac:dyDescent="0.2">
      <c r="B6" s="17"/>
      <c r="C6" s="20"/>
      <c r="D6" s="20"/>
      <c r="E6" s="19"/>
    </row>
    <row r="7" spans="2:5" x14ac:dyDescent="0.2">
      <c r="B7" s="17"/>
      <c r="C7" s="20"/>
      <c r="D7" s="20"/>
      <c r="E7" s="19"/>
    </row>
    <row r="8" spans="2:5" x14ac:dyDescent="0.2">
      <c r="B8" s="17"/>
      <c r="C8" s="30" t="s">
        <v>7</v>
      </c>
      <c r="D8" s="30" t="s">
        <v>233</v>
      </c>
      <c r="E8" s="43"/>
    </row>
    <row r="9" spans="2:5" x14ac:dyDescent="0.2">
      <c r="B9" s="17"/>
      <c r="C9" s="20" t="s">
        <v>246</v>
      </c>
      <c r="D9" s="33">
        <f>8.5*1.1</f>
        <v>9.3500000000000014</v>
      </c>
      <c r="E9" s="19"/>
    </row>
    <row r="10" spans="2:5" x14ac:dyDescent="0.2">
      <c r="B10" s="17"/>
      <c r="C10" s="40" t="s">
        <v>247</v>
      </c>
      <c r="D10" s="33">
        <f>7.5*1.1</f>
        <v>8.25</v>
      </c>
      <c r="E10" s="19"/>
    </row>
    <row r="11" spans="2:5" x14ac:dyDescent="0.2">
      <c r="B11" s="17"/>
      <c r="C11" s="40" t="s">
        <v>248</v>
      </c>
      <c r="D11" s="33">
        <f>5.5*1.1</f>
        <v>6.0500000000000007</v>
      </c>
      <c r="E11" s="19"/>
    </row>
    <row r="12" spans="2:5" x14ac:dyDescent="0.2">
      <c r="B12" s="17"/>
      <c r="D12" s="33"/>
      <c r="E12" s="19"/>
    </row>
    <row r="13" spans="2:5" x14ac:dyDescent="0.2">
      <c r="B13" s="17"/>
      <c r="C13" s="30" t="s">
        <v>7</v>
      </c>
      <c r="D13" s="30" t="s">
        <v>9</v>
      </c>
      <c r="E13" s="19"/>
    </row>
    <row r="14" spans="2:5" x14ac:dyDescent="0.2">
      <c r="B14" s="17"/>
      <c r="C14" s="20"/>
      <c r="D14" s="33"/>
      <c r="E14" s="19"/>
    </row>
    <row r="15" spans="2:5" x14ac:dyDescent="0.2">
      <c r="B15" s="17"/>
      <c r="C15" s="40" t="s">
        <v>249</v>
      </c>
      <c r="D15" s="44">
        <f>1*1.1</f>
        <v>1.1000000000000001</v>
      </c>
      <c r="E15" s="19"/>
    </row>
    <row r="16" spans="2:5" x14ac:dyDescent="0.2">
      <c r="B16" s="17"/>
      <c r="C16" s="45" t="s">
        <v>250</v>
      </c>
      <c r="D16" s="47">
        <f>225*1.1</f>
        <v>247.50000000000003</v>
      </c>
      <c r="E16" s="19"/>
    </row>
    <row r="17" spans="2:5" x14ac:dyDescent="0.2">
      <c r="B17" s="17"/>
      <c r="C17" s="46" t="s">
        <v>251</v>
      </c>
      <c r="D17" s="47" t="s">
        <v>252</v>
      </c>
      <c r="E17" s="19"/>
    </row>
    <row r="18" spans="2:5" ht="13.5" thickBot="1" x14ac:dyDescent="0.25">
      <c r="B18" s="25"/>
      <c r="C18" s="26"/>
      <c r="D18" s="26"/>
      <c r="E18" s="28"/>
    </row>
  </sheetData>
  <mergeCells count="1">
    <mergeCell ref="C2:D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E15"/>
  <sheetViews>
    <sheetView workbookViewId="0">
      <selection activeCell="C2" sqref="C2:D2"/>
    </sheetView>
  </sheetViews>
  <sheetFormatPr defaultRowHeight="12.75" x14ac:dyDescent="0.2"/>
  <cols>
    <col min="2" max="2" width="3.28515625" customWidth="1"/>
    <col min="3" max="3" width="59.7109375" customWidth="1"/>
    <col min="4" max="4" width="30.140625" customWidth="1"/>
    <col min="5" max="5" width="4.42578125" customWidth="1"/>
  </cols>
  <sheetData>
    <row r="1" spans="2:5" x14ac:dyDescent="0.2">
      <c r="C1" s="52" t="s">
        <v>272</v>
      </c>
    </row>
    <row r="2" spans="2:5" ht="20.25" x14ac:dyDescent="0.2">
      <c r="C2" s="72" t="s">
        <v>232</v>
      </c>
      <c r="D2" s="72"/>
    </row>
    <row r="3" spans="2:5" ht="13.5" thickBot="1" x14ac:dyDescent="0.25"/>
    <row r="4" spans="2:5" x14ac:dyDescent="0.2">
      <c r="B4" s="13"/>
      <c r="C4" s="14"/>
      <c r="D4" s="14"/>
      <c r="E4" s="16"/>
    </row>
    <row r="5" spans="2:5" x14ac:dyDescent="0.2">
      <c r="B5" s="17"/>
      <c r="C5" s="29" t="s">
        <v>257</v>
      </c>
      <c r="D5" s="20"/>
      <c r="E5" s="19"/>
    </row>
    <row r="6" spans="2:5" x14ac:dyDescent="0.2">
      <c r="B6" s="17"/>
      <c r="C6" s="20"/>
      <c r="D6" s="20"/>
      <c r="E6" s="19"/>
    </row>
    <row r="7" spans="2:5" x14ac:dyDescent="0.2">
      <c r="B7" s="17"/>
      <c r="C7" s="20"/>
      <c r="D7" s="20"/>
      <c r="E7" s="19"/>
    </row>
    <row r="8" spans="2:5" x14ac:dyDescent="0.2">
      <c r="B8" s="17"/>
      <c r="C8" s="30" t="s">
        <v>7</v>
      </c>
      <c r="D8" s="30" t="s">
        <v>233</v>
      </c>
      <c r="E8" s="43"/>
    </row>
    <row r="9" spans="2:5" x14ac:dyDescent="0.2">
      <c r="B9" s="17"/>
      <c r="C9" s="20" t="s">
        <v>258</v>
      </c>
      <c r="D9" s="33">
        <f>47*1.1</f>
        <v>51.7</v>
      </c>
      <c r="E9" s="19"/>
    </row>
    <row r="10" spans="2:5" x14ac:dyDescent="0.2">
      <c r="B10" s="17"/>
      <c r="C10" s="20" t="s">
        <v>259</v>
      </c>
      <c r="D10" s="33">
        <f>39*1.1</f>
        <v>42.900000000000006</v>
      </c>
      <c r="E10" s="19"/>
    </row>
    <row r="11" spans="2:5" x14ac:dyDescent="0.2">
      <c r="B11" s="17"/>
      <c r="C11" s="20" t="s">
        <v>260</v>
      </c>
      <c r="D11" s="33">
        <f>52.85*1.1</f>
        <v>58.135000000000005</v>
      </c>
      <c r="E11" s="19"/>
    </row>
    <row r="12" spans="2:5" x14ac:dyDescent="0.2">
      <c r="B12" s="17"/>
      <c r="D12" s="33"/>
      <c r="E12" s="19"/>
    </row>
    <row r="13" spans="2:5" x14ac:dyDescent="0.2">
      <c r="B13" s="17"/>
      <c r="C13" s="30" t="s">
        <v>7</v>
      </c>
      <c r="D13" s="30" t="s">
        <v>261</v>
      </c>
      <c r="E13" s="19"/>
    </row>
    <row r="14" spans="2:5" x14ac:dyDescent="0.2">
      <c r="B14" s="17"/>
      <c r="C14" s="20" t="s">
        <v>32</v>
      </c>
      <c r="D14" s="33">
        <f>4*1.1</f>
        <v>4.4000000000000004</v>
      </c>
      <c r="E14" s="19"/>
    </row>
    <row r="15" spans="2:5" ht="13.5" thickBot="1" x14ac:dyDescent="0.25">
      <c r="B15" s="25"/>
      <c r="C15" s="26"/>
      <c r="D15" s="26"/>
      <c r="E15" s="28"/>
    </row>
  </sheetData>
  <mergeCells count="1">
    <mergeCell ref="C2:D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I15"/>
  <sheetViews>
    <sheetView workbookViewId="0">
      <selection activeCell="C2" sqref="C2:D2"/>
    </sheetView>
  </sheetViews>
  <sheetFormatPr defaultRowHeight="12.75" x14ac:dyDescent="0.2"/>
  <cols>
    <col min="2" max="2" width="3.28515625" customWidth="1"/>
    <col min="3" max="3" width="59.7109375" customWidth="1"/>
    <col min="4" max="4" width="33.7109375" customWidth="1"/>
    <col min="5" max="8" width="11.7109375" customWidth="1"/>
    <col min="9" max="9" width="3.5703125" customWidth="1"/>
  </cols>
  <sheetData>
    <row r="1" spans="2:9" x14ac:dyDescent="0.2">
      <c r="C1" s="52" t="s">
        <v>272</v>
      </c>
    </row>
    <row r="2" spans="2:9" ht="20.25" x14ac:dyDescent="0.2">
      <c r="C2" s="72" t="s">
        <v>232</v>
      </c>
      <c r="D2" s="72"/>
    </row>
    <row r="3" spans="2:9" ht="13.5" thickBot="1" x14ac:dyDescent="0.25"/>
    <row r="4" spans="2:9" x14ac:dyDescent="0.2">
      <c r="B4" s="13"/>
      <c r="C4" s="14"/>
      <c r="D4" s="14"/>
      <c r="E4" s="14"/>
      <c r="F4" s="14"/>
      <c r="G4" s="14"/>
      <c r="H4" s="14"/>
      <c r="I4" s="16"/>
    </row>
    <row r="5" spans="2:9" x14ac:dyDescent="0.2">
      <c r="B5" s="17"/>
      <c r="C5" s="29" t="s">
        <v>262</v>
      </c>
      <c r="D5" s="20"/>
      <c r="E5" s="20"/>
      <c r="F5" s="20"/>
      <c r="G5" s="20"/>
      <c r="H5" s="20"/>
      <c r="I5" s="19"/>
    </row>
    <row r="6" spans="2:9" x14ac:dyDescent="0.2">
      <c r="B6" s="17"/>
      <c r="C6" s="20"/>
      <c r="D6" s="20"/>
      <c r="E6" s="20"/>
      <c r="F6" s="20"/>
      <c r="G6" s="20"/>
      <c r="H6" s="20"/>
      <c r="I6" s="19"/>
    </row>
    <row r="7" spans="2:9" x14ac:dyDescent="0.2">
      <c r="B7" s="17"/>
      <c r="C7" s="20"/>
      <c r="D7" s="76" t="s">
        <v>233</v>
      </c>
      <c r="E7" s="76"/>
      <c r="F7" s="76"/>
      <c r="G7" s="76"/>
      <c r="H7" s="76"/>
      <c r="I7" s="19"/>
    </row>
    <row r="8" spans="2:9" x14ac:dyDescent="0.2">
      <c r="B8" s="17"/>
      <c r="C8" s="30" t="s">
        <v>266</v>
      </c>
      <c r="D8" s="30" t="s">
        <v>263</v>
      </c>
      <c r="E8" s="35" t="s">
        <v>264</v>
      </c>
      <c r="F8" s="35" t="s">
        <v>221</v>
      </c>
      <c r="G8" s="35" t="s">
        <v>223</v>
      </c>
      <c r="H8" s="35" t="s">
        <v>265</v>
      </c>
      <c r="I8" s="19"/>
    </row>
    <row r="9" spans="2:9" x14ac:dyDescent="0.2">
      <c r="B9" s="17"/>
      <c r="C9" s="20" t="s">
        <v>267</v>
      </c>
      <c r="D9" s="33" t="s">
        <v>269</v>
      </c>
      <c r="E9" s="32">
        <f>50*1.1</f>
        <v>55.000000000000007</v>
      </c>
      <c r="F9" s="32">
        <f>40*1.1</f>
        <v>44</v>
      </c>
      <c r="G9" s="32">
        <f>30*1.1</f>
        <v>33</v>
      </c>
      <c r="H9" s="32">
        <f>20*1.1</f>
        <v>22</v>
      </c>
      <c r="I9" s="19"/>
    </row>
    <row r="10" spans="2:9" x14ac:dyDescent="0.2">
      <c r="B10" s="17"/>
      <c r="C10" s="40" t="s">
        <v>268</v>
      </c>
      <c r="D10" s="33">
        <f>6000*1.1</f>
        <v>6600.0000000000009</v>
      </c>
      <c r="E10" s="32">
        <f>115*1.1</f>
        <v>126.50000000000001</v>
      </c>
      <c r="F10" s="32">
        <f>105*1.1</f>
        <v>115.50000000000001</v>
      </c>
      <c r="G10" s="32">
        <f>90*1.1</f>
        <v>99.000000000000014</v>
      </c>
      <c r="H10" s="32">
        <f>70*1.1</f>
        <v>77</v>
      </c>
      <c r="I10" s="19"/>
    </row>
    <row r="11" spans="2:9" x14ac:dyDescent="0.2">
      <c r="B11" s="17"/>
      <c r="C11" s="20"/>
      <c r="D11" s="33"/>
      <c r="E11" s="20"/>
      <c r="F11" s="20"/>
      <c r="G11" s="20"/>
      <c r="H11" s="20"/>
      <c r="I11" s="19"/>
    </row>
    <row r="12" spans="2:9" x14ac:dyDescent="0.2">
      <c r="B12" s="17"/>
      <c r="C12" s="30" t="s">
        <v>7</v>
      </c>
      <c r="D12" s="30" t="s">
        <v>270</v>
      </c>
      <c r="E12" s="20"/>
      <c r="F12" s="20"/>
      <c r="G12" s="20"/>
      <c r="H12" s="20"/>
      <c r="I12" s="19"/>
    </row>
    <row r="13" spans="2:9" x14ac:dyDescent="0.2">
      <c r="B13" s="17"/>
      <c r="C13" s="45" t="s">
        <v>271</v>
      </c>
      <c r="D13" s="44">
        <f>100*1.1</f>
        <v>110.00000000000001</v>
      </c>
      <c r="E13" s="20"/>
      <c r="F13" s="20"/>
      <c r="G13" s="20"/>
      <c r="H13" s="20"/>
      <c r="I13" s="19"/>
    </row>
    <row r="14" spans="2:9" ht="13.5" thickBot="1" x14ac:dyDescent="0.25">
      <c r="B14" s="25"/>
      <c r="C14" s="26"/>
      <c r="D14" s="48"/>
      <c r="E14" s="26"/>
      <c r="F14" s="26"/>
      <c r="G14" s="26"/>
      <c r="H14" s="26"/>
      <c r="I14" s="28"/>
    </row>
    <row r="15" spans="2:9" x14ac:dyDescent="0.2">
      <c r="B15" s="20"/>
      <c r="C15" s="20"/>
      <c r="D15" s="20"/>
      <c r="E15" s="20"/>
    </row>
  </sheetData>
  <mergeCells count="2">
    <mergeCell ref="C2:D2"/>
    <mergeCell ref="D7:H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8EB871F7E9914FB17282E4AE661ACA" ma:contentTypeVersion="2" ma:contentTypeDescription="Create a new document." ma:contentTypeScope="" ma:versionID="027423b35f4d8ceb1dd3363cb37f8c51">
  <xsd:schema xmlns:xsd="http://www.w3.org/2001/XMLSchema" xmlns:xs="http://www.w3.org/2001/XMLSchema" xmlns:p="http://schemas.microsoft.com/office/2006/metadata/properties" xmlns:ns2="0280757d-37fe-447a-94a4-d00c1eb2ad0e" xmlns:ns3="be9a010d-7670-4add-88f0-e59dd9c97f50" targetNamespace="http://schemas.microsoft.com/office/2006/metadata/properties" ma:root="true" ma:fieldsID="02a73385384c3d4a3ed97b5dbb63f7c1" ns2:_="" ns3:_="">
    <xsd:import namespace="0280757d-37fe-447a-94a4-d00c1eb2ad0e"/>
    <xsd:import namespace="be9a010d-7670-4add-88f0-e59dd9c97f50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LockedVersions" minOccurs="0"/>
                <xsd:element ref="ns3:AdvancedVersioningLimi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0757d-37fe-447a-94a4-d00c1eb2ad0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9a010d-7670-4add-88f0-e59dd9c97f50" elementFormDefault="qualified">
    <xsd:import namespace="http://schemas.microsoft.com/office/2006/documentManagement/types"/>
    <xsd:import namespace="http://schemas.microsoft.com/office/infopath/2007/PartnerControls"/>
    <xsd:element name="LockedVersions" ma:index="11" nillable="true" ma:displayName="LockedVersions" ma:hidden="true" ma:internalName="LockedVersions">
      <xsd:simpleType>
        <xsd:restriction base="dms:Text"/>
      </xsd:simpleType>
    </xsd:element>
    <xsd:element name="AdvancedVersioningLimit" ma:index="12" nillable="true" ma:displayName="AdvancedVersioningLimit" ma:hidden="true" ma:internalName="AdvancedVersioningLimit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dvancedVersioningLimit xmlns="be9a010d-7670-4add-88f0-e59dd9c97f50" xsi:nil="true"/>
    <LockedVersions xmlns="be9a010d-7670-4add-88f0-e59dd9c97f50" xsi:nil="true"/>
    <_dlc_DocId xmlns="0280757d-37fe-447a-94a4-d00c1eb2ad0e">PTEC2HVDMWAY-18757-129</_dlc_DocId>
    <_dlc_DocIdUrl xmlns="0280757d-37fe-447a-94a4-d00c1eb2ad0e">
      <Url>https://sp.myatos.net/organization/gbu/nam/namengage/utc/_layouts/DocIdRedir.aspx?ID=PTEC2HVDMWAY-18757-129</Url>
      <Description>PTEC2HVDMWAY-18757-129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9456C219-B171-4BD8-8F05-8B29AB2BD5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80757d-37fe-447a-94a4-d00c1eb2ad0e"/>
    <ds:schemaRef ds:uri="be9a010d-7670-4add-88f0-e59dd9c97f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00777A-89C0-44DE-BB2E-2260DCEA483B}">
  <ds:schemaRefs>
    <ds:schemaRef ds:uri="http://purl.org/dc/elements/1.1/"/>
    <ds:schemaRef ds:uri="http://www.w3.org/XML/1998/namespace"/>
    <ds:schemaRef ds:uri="http://schemas.microsoft.com/office/infopath/2007/PartnerControls"/>
    <ds:schemaRef ds:uri="be9a010d-7670-4add-88f0-e59dd9c97f50"/>
    <ds:schemaRef ds:uri="http://purl.org/dc/dcmitype/"/>
    <ds:schemaRef ds:uri="http://schemas.microsoft.com/office/2006/documentManagement/types"/>
    <ds:schemaRef ds:uri="http://purl.org/dc/terms/"/>
    <ds:schemaRef ds:uri="0280757d-37fe-447a-94a4-d00c1eb2ad0e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D93BA09-85D9-4F85-882F-833DEBF0B51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AA41D20-3596-44E2-A3FF-C532B407A631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Summary</vt:lpstr>
      <vt:lpstr>SPC - Multi-tenant</vt:lpstr>
      <vt:lpstr>SPC - Single Tenant</vt:lpstr>
      <vt:lpstr>SPC - Test  Development</vt:lpstr>
      <vt:lpstr>Dedicated Private Cloud</vt:lpstr>
      <vt:lpstr>PaaS</vt:lpstr>
      <vt:lpstr>OSC-Circuit</vt:lpstr>
      <vt:lpstr>SaaS - Collaboration</vt:lpstr>
      <vt:lpstr>SaaS - BP</vt:lpstr>
      <vt:lpstr>SaaS - CRM</vt:lpstr>
      <vt:lpstr>SaaS - PLM</vt:lpstr>
    </vt:vector>
  </TitlesOfParts>
  <Company>Atos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Vaughan, Kevin</dc:creator>
  <cp:lastModifiedBy>Windows User</cp:lastModifiedBy>
  <dcterms:created xsi:type="dcterms:W3CDTF">2016-03-03T14:41:14Z</dcterms:created>
  <dcterms:modified xsi:type="dcterms:W3CDTF">2018-07-23T17:41:00Z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0x010100A48EB871F7E9914FB17282E4AE661ACA</vt:lpwstr>
  </property>
  <property fmtid="{D5CDD505-2E9C-101B-9397-08002B2CF9AE}" pid="4" name="_dlc_DocIdItemGuid">
    <vt:lpwstr>3b4d5917-ea66-4e37-a60f-ba6c28732e3d</vt:lpwstr>
  </property>
  <property fmtid="{D5CDD505-2E9C-101B-9397-08002B2CF9AE}" pid="5" name="_AdHocReviewCycleID">
    <vt:i4>-954774854</vt:i4>
  </property>
  <property fmtid="{D5CDD505-2E9C-101B-9397-08002B2CF9AE}" pid="6" name="_EmailSubject">
    <vt:lpwstr>NASPO Updated Price Sheet 7-23</vt:lpwstr>
  </property>
  <property fmtid="{D5CDD505-2E9C-101B-9397-08002B2CF9AE}" pid="7" name="_AuthorEmail">
    <vt:lpwstr>tom.haskell@atos.net</vt:lpwstr>
  </property>
  <property fmtid="{D5CDD505-2E9C-101B-9397-08002B2CF9AE}" pid="8" name="_AuthorEmailDisplayName">
    <vt:lpwstr>Haskell, Tom</vt:lpwstr>
  </property>
</Properties>
</file>