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8025" windowHeight="3315" activeTab="1"/>
  </bookViews>
  <sheets>
    <sheet name="Instructor Notes " sheetId="7" r:id="rId1"/>
    <sheet name="2.1 Supply &amp; Demand" sheetId="2" r:id="rId2"/>
    <sheet name="2.1 Charts" sheetId="6" r:id="rId3"/>
    <sheet name="2.1 Revised Break Even (S&amp;D) " sheetId="8" r:id="rId4"/>
    <sheet name="2.1 Change in Income (S&amp;D)" sheetId="9" r:id="rId5"/>
    <sheet name="12.3 Outsourcing Costs" sheetId="10" r:id="rId6"/>
    <sheet name="15.1 Break Even Analysis I " sheetId="13" r:id="rId7"/>
    <sheet name="15.1 Break Even Analysis II" sheetId="17" r:id="rId8"/>
    <sheet name="15.2 Income Projections" sheetId="3" r:id="rId9"/>
    <sheet name="15.3 Historical Figures  " sheetId="1" r:id="rId10"/>
    <sheet name="15.3 BE at New Location" sheetId="15" r:id="rId11"/>
    <sheet name="15.3 &quot;What If&quot; Scenarios" sheetId="19" r:id="rId12"/>
    <sheet name="15.4 Income Statement" sheetId="4" r:id="rId13"/>
    <sheet name="15.4 Balance Sheet" sheetId="5" r:id="rId14"/>
    <sheet name="15.4 Ratios " sheetId="18" r:id="rId15"/>
  </sheets>
  <calcPr calcId="145621"/>
</workbook>
</file>

<file path=xl/calcChain.xml><?xml version="1.0" encoding="utf-8"?>
<calcChain xmlns="http://schemas.openxmlformats.org/spreadsheetml/2006/main">
  <c r="G70" i="19" l="1"/>
  <c r="B70" i="19"/>
  <c r="E68" i="19"/>
  <c r="D68" i="19"/>
  <c r="E67" i="19"/>
  <c r="D67" i="19"/>
  <c r="E66" i="19"/>
  <c r="D66" i="19"/>
  <c r="E65" i="19"/>
  <c r="D65" i="19"/>
  <c r="F65" i="19" s="1"/>
  <c r="G65" i="19" s="1"/>
  <c r="H65" i="19" s="1"/>
  <c r="D61" i="19"/>
  <c r="D60" i="19"/>
  <c r="D59" i="19"/>
  <c r="B46" i="19"/>
  <c r="E44" i="19"/>
  <c r="D44" i="19"/>
  <c r="E43" i="19"/>
  <c r="D43" i="19"/>
  <c r="E42" i="19"/>
  <c r="D42" i="19"/>
  <c r="E41" i="19"/>
  <c r="D41" i="19"/>
  <c r="D37" i="19"/>
  <c r="D36" i="19"/>
  <c r="D35" i="19"/>
  <c r="B22" i="19"/>
  <c r="E20" i="19"/>
  <c r="D20" i="19"/>
  <c r="F20" i="19" s="1"/>
  <c r="G20" i="19" s="1"/>
  <c r="H20" i="19" s="1"/>
  <c r="E19" i="19"/>
  <c r="D19" i="19"/>
  <c r="E18" i="19"/>
  <c r="F18" i="19" s="1"/>
  <c r="G18" i="19" s="1"/>
  <c r="H18" i="19" s="1"/>
  <c r="D18" i="19"/>
  <c r="E17" i="19"/>
  <c r="D17" i="19"/>
  <c r="F17" i="19" s="1"/>
  <c r="G17" i="19" s="1"/>
  <c r="H17" i="19" s="1"/>
  <c r="D13" i="19"/>
  <c r="D12" i="19"/>
  <c r="D11" i="19"/>
  <c r="C45" i="1"/>
  <c r="N13" i="1"/>
  <c r="N12" i="1"/>
  <c r="N11" i="1"/>
  <c r="N10" i="1"/>
  <c r="N6" i="1"/>
  <c r="N5" i="1"/>
  <c r="N4" i="1"/>
  <c r="N3" i="1"/>
  <c r="F46" i="15"/>
  <c r="E46" i="15"/>
  <c r="C46" i="15"/>
  <c r="D46" i="15"/>
  <c r="C47" i="15"/>
  <c r="F47" i="15"/>
  <c r="E47" i="15"/>
  <c r="D47" i="15"/>
  <c r="B46" i="15"/>
  <c r="D42" i="15"/>
  <c r="D41" i="15"/>
  <c r="D43" i="15" s="1"/>
  <c r="H35" i="15"/>
  <c r="H36" i="15"/>
  <c r="H37" i="15"/>
  <c r="H34" i="15"/>
  <c r="F35" i="15"/>
  <c r="F36" i="15"/>
  <c r="G36" i="15" s="1"/>
  <c r="F37" i="15"/>
  <c r="F34" i="15"/>
  <c r="G34" i="15" s="1"/>
  <c r="B39" i="15"/>
  <c r="E37" i="15"/>
  <c r="D37" i="15"/>
  <c r="G37" i="15" s="1"/>
  <c r="E36" i="15"/>
  <c r="D36" i="15"/>
  <c r="E35" i="15"/>
  <c r="D35" i="15"/>
  <c r="G35" i="15" s="1"/>
  <c r="E34" i="15"/>
  <c r="D34" i="15"/>
  <c r="D30" i="15"/>
  <c r="D29" i="15"/>
  <c r="D28" i="15"/>
  <c r="B24" i="15"/>
  <c r="F19" i="18"/>
  <c r="F20" i="18"/>
  <c r="F18" i="18"/>
  <c r="E19" i="18"/>
  <c r="E20" i="18"/>
  <c r="E18" i="18"/>
  <c r="F13" i="18"/>
  <c r="F14" i="18"/>
  <c r="F12" i="18"/>
  <c r="D6" i="18"/>
  <c r="D7" i="18"/>
  <c r="D5" i="18"/>
  <c r="I12" i="3"/>
  <c r="F14" i="3"/>
  <c r="H12" i="3"/>
  <c r="G12" i="3"/>
  <c r="F12" i="3"/>
  <c r="E12" i="3"/>
  <c r="D12" i="3"/>
  <c r="G43" i="3"/>
  <c r="G42" i="3"/>
  <c r="G41" i="3"/>
  <c r="G40" i="3"/>
  <c r="F43" i="3"/>
  <c r="F42" i="3"/>
  <c r="F41" i="3"/>
  <c r="F40" i="3"/>
  <c r="E43" i="3"/>
  <c r="E42" i="3"/>
  <c r="E41" i="3"/>
  <c r="E40" i="3"/>
  <c r="D43" i="3"/>
  <c r="D42" i="3"/>
  <c r="D41" i="3"/>
  <c r="D40" i="3"/>
  <c r="C43" i="3"/>
  <c r="C42" i="3"/>
  <c r="C41" i="3"/>
  <c r="C40" i="3"/>
  <c r="R37" i="3"/>
  <c r="Q37" i="3"/>
  <c r="P37" i="3"/>
  <c r="O37" i="3"/>
  <c r="N37" i="3"/>
  <c r="M37" i="3"/>
  <c r="B43" i="3" s="1"/>
  <c r="R36" i="3"/>
  <c r="Q36" i="3"/>
  <c r="P36" i="3"/>
  <c r="O36" i="3"/>
  <c r="N36" i="3"/>
  <c r="M36" i="3"/>
  <c r="B42" i="3" s="1"/>
  <c r="R35" i="3"/>
  <c r="Q35" i="3"/>
  <c r="P35" i="3"/>
  <c r="O35" i="3"/>
  <c r="N35" i="3"/>
  <c r="M35" i="3"/>
  <c r="B41" i="3" s="1"/>
  <c r="R34" i="3"/>
  <c r="Q34" i="3"/>
  <c r="P34" i="3"/>
  <c r="O34" i="3"/>
  <c r="N34" i="3"/>
  <c r="M34" i="3"/>
  <c r="B40" i="3" s="1"/>
  <c r="D14" i="17"/>
  <c r="D15" i="17"/>
  <c r="D16" i="17"/>
  <c r="D13" i="17"/>
  <c r="E74" i="17"/>
  <c r="E75" i="17"/>
  <c r="F68" i="19" l="1"/>
  <c r="G68" i="19" s="1"/>
  <c r="H68" i="19" s="1"/>
  <c r="F67" i="19"/>
  <c r="G67" i="19" s="1"/>
  <c r="H67" i="19" s="1"/>
  <c r="F66" i="19"/>
  <c r="G66" i="19" s="1"/>
  <c r="H66" i="19" s="1"/>
  <c r="F44" i="19"/>
  <c r="G44" i="19" s="1"/>
  <c r="H44" i="19" s="1"/>
  <c r="F41" i="19"/>
  <c r="G41" i="19" s="1"/>
  <c r="H41" i="19" s="1"/>
  <c r="F43" i="19"/>
  <c r="G43" i="19" s="1"/>
  <c r="H43" i="19" s="1"/>
  <c r="F42" i="19"/>
  <c r="G42" i="19" s="1"/>
  <c r="H42" i="19" s="1"/>
  <c r="F19" i="19"/>
  <c r="G19" i="19" s="1"/>
  <c r="H19" i="19" s="1"/>
  <c r="G22" i="19" s="1"/>
  <c r="D25" i="19" s="1"/>
  <c r="D26" i="19" s="1"/>
  <c r="B29" i="19" s="1"/>
  <c r="G39" i="15"/>
  <c r="G35" i="1"/>
  <c r="B78" i="17"/>
  <c r="E76" i="17"/>
  <c r="D76" i="17"/>
  <c r="C15" i="17"/>
  <c r="D75" i="17"/>
  <c r="C14" i="17"/>
  <c r="D74" i="17"/>
  <c r="E73" i="17"/>
  <c r="C13" i="17" s="1"/>
  <c r="D73" i="17"/>
  <c r="D69" i="17"/>
  <c r="D68" i="17"/>
  <c r="D67" i="17"/>
  <c r="B54" i="17"/>
  <c r="F52" i="17"/>
  <c r="G52" i="17" s="1"/>
  <c r="H52" i="17" s="1"/>
  <c r="E52" i="17"/>
  <c r="D52" i="17"/>
  <c r="B9" i="17" s="1"/>
  <c r="E51" i="17"/>
  <c r="D51" i="17"/>
  <c r="E50" i="17"/>
  <c r="B14" i="17" s="1"/>
  <c r="D50" i="17"/>
  <c r="B7" i="17" s="1"/>
  <c r="E49" i="17"/>
  <c r="D49" i="17"/>
  <c r="B6" i="17" s="1"/>
  <c r="D45" i="17"/>
  <c r="D44" i="17"/>
  <c r="D43" i="17"/>
  <c r="C34" i="17"/>
  <c r="D80" i="17" s="1"/>
  <c r="B34" i="17"/>
  <c r="D56" i="17" s="1"/>
  <c r="B16" i="17"/>
  <c r="B15" i="17"/>
  <c r="B13" i="17"/>
  <c r="C9" i="17"/>
  <c r="C7" i="17"/>
  <c r="D73" i="19" l="1"/>
  <c r="D74" i="19" s="1"/>
  <c r="B77" i="19" s="1"/>
  <c r="E77" i="19" s="1"/>
  <c r="E78" i="19" s="1"/>
  <c r="F77" i="19"/>
  <c r="F78" i="19" s="1"/>
  <c r="C77" i="19"/>
  <c r="C78" i="19" s="1"/>
  <c r="G46" i="19"/>
  <c r="D49" i="19" s="1"/>
  <c r="D50" i="19" s="1"/>
  <c r="B53" i="19" s="1"/>
  <c r="E53" i="19" s="1"/>
  <c r="E54" i="19" s="1"/>
  <c r="F53" i="19"/>
  <c r="F54" i="19" s="1"/>
  <c r="C53" i="19"/>
  <c r="C54" i="19" s="1"/>
  <c r="F29" i="19"/>
  <c r="F30" i="19" s="1"/>
  <c r="D29" i="19"/>
  <c r="D30" i="19" s="1"/>
  <c r="C29" i="19"/>
  <c r="C30" i="19" s="1"/>
  <c r="E29" i="19"/>
  <c r="E30" i="19" s="1"/>
  <c r="D7" i="17"/>
  <c r="D9" i="17"/>
  <c r="F75" i="17"/>
  <c r="G75" i="17" s="1"/>
  <c r="H75" i="17" s="1"/>
  <c r="F49" i="17"/>
  <c r="G49" i="17" s="1"/>
  <c r="H49" i="17" s="1"/>
  <c r="G54" i="17" s="1"/>
  <c r="F76" i="17"/>
  <c r="G76" i="17" s="1"/>
  <c r="H76" i="17" s="1"/>
  <c r="C8" i="17"/>
  <c r="D8" i="17" s="1"/>
  <c r="F74" i="17"/>
  <c r="G74" i="17" s="1"/>
  <c r="H74" i="17" s="1"/>
  <c r="B17" i="17"/>
  <c r="B8" i="17"/>
  <c r="B10" i="17" s="1"/>
  <c r="F50" i="17"/>
  <c r="G50" i="17" s="1"/>
  <c r="H50" i="17" s="1"/>
  <c r="F73" i="17"/>
  <c r="G73" i="17" s="1"/>
  <c r="H73" i="17" s="1"/>
  <c r="G78" i="17" s="1"/>
  <c r="C6" i="17"/>
  <c r="D6" i="17" s="1"/>
  <c r="D10" i="17" s="1"/>
  <c r="C16" i="17"/>
  <c r="F51" i="17"/>
  <c r="G51" i="17" s="1"/>
  <c r="H51" i="17" s="1"/>
  <c r="B79" i="13"/>
  <c r="E77" i="13"/>
  <c r="C16" i="13" s="1"/>
  <c r="D77" i="13"/>
  <c r="E76" i="13"/>
  <c r="C15" i="13" s="1"/>
  <c r="D76" i="13"/>
  <c r="F76" i="13" s="1"/>
  <c r="G76" i="13" s="1"/>
  <c r="H76" i="13" s="1"/>
  <c r="E75" i="13"/>
  <c r="C14" i="13" s="1"/>
  <c r="D75" i="13"/>
  <c r="C7" i="13" s="1"/>
  <c r="E74" i="13"/>
  <c r="C13" i="13" s="1"/>
  <c r="D74" i="13"/>
  <c r="C6" i="13" s="1"/>
  <c r="D69" i="13"/>
  <c r="D68" i="13"/>
  <c r="D67" i="13"/>
  <c r="C34" i="13"/>
  <c r="D81" i="13" s="1"/>
  <c r="B34" i="13"/>
  <c r="D56" i="13" s="1"/>
  <c r="E52" i="13"/>
  <c r="B16" i="13" s="1"/>
  <c r="E51" i="13"/>
  <c r="B15" i="13" s="1"/>
  <c r="E50" i="13"/>
  <c r="B14" i="13" s="1"/>
  <c r="E49" i="13"/>
  <c r="B13" i="13" s="1"/>
  <c r="D49" i="13"/>
  <c r="D52" i="13"/>
  <c r="D51" i="13"/>
  <c r="D50" i="13"/>
  <c r="D45" i="13"/>
  <c r="D44" i="13"/>
  <c r="D43" i="13"/>
  <c r="B54" i="13"/>
  <c r="C43" i="10"/>
  <c r="D43" i="10" s="1"/>
  <c r="D24" i="10"/>
  <c r="D23" i="10"/>
  <c r="D22" i="10"/>
  <c r="B43" i="10" s="1"/>
  <c r="D21" i="10"/>
  <c r="B36" i="10"/>
  <c r="F24" i="10"/>
  <c r="B38" i="10" s="1"/>
  <c r="F22" i="10"/>
  <c r="C36" i="10" s="1"/>
  <c r="D36" i="10" s="1"/>
  <c r="F23" i="10"/>
  <c r="C37" i="10" s="1"/>
  <c r="F21" i="10"/>
  <c r="C35" i="10" s="1"/>
  <c r="E24" i="10"/>
  <c r="E22" i="10"/>
  <c r="E21" i="10"/>
  <c r="F8" i="10"/>
  <c r="F10" i="10"/>
  <c r="F9" i="10"/>
  <c r="E23" i="10" s="1"/>
  <c r="G9" i="10"/>
  <c r="D9" i="10"/>
  <c r="D10" i="10"/>
  <c r="G10" i="10" s="1"/>
  <c r="D8" i="10"/>
  <c r="G8" i="10" s="1"/>
  <c r="O18" i="9"/>
  <c r="O17" i="9"/>
  <c r="O16" i="9"/>
  <c r="O15" i="9"/>
  <c r="O8" i="9"/>
  <c r="O11" i="9"/>
  <c r="O10" i="9"/>
  <c r="O9" i="9"/>
  <c r="O35" i="9"/>
  <c r="O33" i="9"/>
  <c r="O30" i="9"/>
  <c r="O25" i="9"/>
  <c r="O24" i="9"/>
  <c r="O36" i="9" s="1"/>
  <c r="E45" i="9"/>
  <c r="E44" i="9"/>
  <c r="E43" i="9"/>
  <c r="E42" i="9"/>
  <c r="E41" i="9"/>
  <c r="C44" i="9"/>
  <c r="C43" i="9"/>
  <c r="C42" i="9"/>
  <c r="K32" i="9"/>
  <c r="K28" i="9"/>
  <c r="K24" i="9"/>
  <c r="K15" i="9"/>
  <c r="K8" i="9"/>
  <c r="E32" i="9"/>
  <c r="K18" i="9" s="1"/>
  <c r="E31" i="9"/>
  <c r="K17" i="9" s="1"/>
  <c r="E30" i="9"/>
  <c r="K9" i="9" s="1"/>
  <c r="E29" i="9"/>
  <c r="E33" i="9" s="1"/>
  <c r="C9" i="9"/>
  <c r="K25" i="9" s="1"/>
  <c r="C10" i="9"/>
  <c r="K26" i="9" s="1"/>
  <c r="C11" i="9"/>
  <c r="K27" i="9" s="1"/>
  <c r="C12" i="9"/>
  <c r="C13" i="9"/>
  <c r="K29" i="9" s="1"/>
  <c r="C14" i="9"/>
  <c r="K30" i="9" s="1"/>
  <c r="C15" i="9"/>
  <c r="K31" i="9" s="1"/>
  <c r="C16" i="9"/>
  <c r="C17" i="9"/>
  <c r="K33" i="9" s="1"/>
  <c r="C18" i="9"/>
  <c r="K34" i="9" s="1"/>
  <c r="C19" i="9"/>
  <c r="K35" i="9" s="1"/>
  <c r="C8" i="9"/>
  <c r="C20" i="9" s="1"/>
  <c r="B20" i="9"/>
  <c r="C47" i="8"/>
  <c r="F47" i="8"/>
  <c r="E47" i="8"/>
  <c r="D47" i="8"/>
  <c r="F46" i="8"/>
  <c r="E46" i="8"/>
  <c r="D46" i="8"/>
  <c r="C46" i="8"/>
  <c r="B46" i="8"/>
  <c r="C21" i="8"/>
  <c r="E21" i="8" s="1"/>
  <c r="C20" i="8"/>
  <c r="C19" i="8"/>
  <c r="C18" i="8"/>
  <c r="C14" i="8"/>
  <c r="K16" i="8"/>
  <c r="D26" i="8" s="1"/>
  <c r="E30" i="1"/>
  <c r="D77" i="19" l="1"/>
  <c r="D78" i="19" s="1"/>
  <c r="D53" i="19"/>
  <c r="D54" i="19" s="1"/>
  <c r="B19" i="17"/>
  <c r="B37" i="17" s="1"/>
  <c r="C17" i="17"/>
  <c r="D17" i="17" s="1"/>
  <c r="B6" i="13"/>
  <c r="F49" i="13"/>
  <c r="G49" i="13" s="1"/>
  <c r="H49" i="13" s="1"/>
  <c r="B7" i="13"/>
  <c r="F50" i="13"/>
  <c r="G50" i="13" s="1"/>
  <c r="H50" i="13" s="1"/>
  <c r="B8" i="13"/>
  <c r="F51" i="13"/>
  <c r="G51" i="13" s="1"/>
  <c r="H51" i="13" s="1"/>
  <c r="B9" i="13"/>
  <c r="F52" i="13"/>
  <c r="C10" i="17"/>
  <c r="D81" i="17"/>
  <c r="D57" i="17"/>
  <c r="F77" i="13"/>
  <c r="G77" i="13" s="1"/>
  <c r="H77" i="13" s="1"/>
  <c r="C8" i="13"/>
  <c r="F74" i="13"/>
  <c r="G74" i="13" s="1"/>
  <c r="H74" i="13" s="1"/>
  <c r="G79" i="13" s="1"/>
  <c r="B17" i="13"/>
  <c r="C9" i="13"/>
  <c r="F75" i="13"/>
  <c r="G75" i="13" s="1"/>
  <c r="H75" i="13" s="1"/>
  <c r="C17" i="13"/>
  <c r="B10" i="13"/>
  <c r="G52" i="13"/>
  <c r="H52" i="13" s="1"/>
  <c r="B37" i="10"/>
  <c r="D37" i="10" s="1"/>
  <c r="B44" i="10"/>
  <c r="C44" i="10"/>
  <c r="B45" i="10"/>
  <c r="C45" i="10"/>
  <c r="D45" i="10" s="1"/>
  <c r="B42" i="10"/>
  <c r="B46" i="10" s="1"/>
  <c r="C42" i="10"/>
  <c r="B35" i="10"/>
  <c r="B39" i="10" s="1"/>
  <c r="C38" i="10"/>
  <c r="D38" i="10" s="1"/>
  <c r="O19" i="9"/>
  <c r="O12" i="9"/>
  <c r="K16" i="9"/>
  <c r="K19" i="9" s="1"/>
  <c r="K10" i="9"/>
  <c r="K11" i="9"/>
  <c r="K12" i="9" s="1"/>
  <c r="K36" i="9"/>
  <c r="B19" i="8"/>
  <c r="B18" i="8"/>
  <c r="B21" i="8"/>
  <c r="E18" i="8"/>
  <c r="F18" i="8" s="1"/>
  <c r="B20" i="8"/>
  <c r="F21" i="8"/>
  <c r="E19" i="8"/>
  <c r="F19" i="8" s="1"/>
  <c r="E20" i="8"/>
  <c r="F20" i="8" s="1"/>
  <c r="D22" i="5"/>
  <c r="C22" i="5"/>
  <c r="B22" i="5"/>
  <c r="B24" i="5" s="1"/>
  <c r="D17" i="5"/>
  <c r="D14" i="5"/>
  <c r="D4" i="5"/>
  <c r="C24" i="5"/>
  <c r="D19" i="5"/>
  <c r="D18" i="5"/>
  <c r="D16" i="5"/>
  <c r="D15" i="5"/>
  <c r="D10" i="5"/>
  <c r="D7" i="5"/>
  <c r="D11" i="5" s="1"/>
  <c r="D6" i="5"/>
  <c r="D5" i="5"/>
  <c r="C20" i="5"/>
  <c r="C19" i="5"/>
  <c r="B17" i="5"/>
  <c r="C17" i="5"/>
  <c r="C18" i="5"/>
  <c r="C6" i="5"/>
  <c r="C16" i="5"/>
  <c r="C14" i="5"/>
  <c r="C10" i="5"/>
  <c r="C7" i="5"/>
  <c r="C11" i="5" s="1"/>
  <c r="C5" i="5"/>
  <c r="C4" i="5"/>
  <c r="B19" i="5"/>
  <c r="B10" i="5"/>
  <c r="B7" i="5"/>
  <c r="B11" i="5" s="1"/>
  <c r="D16" i="4"/>
  <c r="D20" i="4"/>
  <c r="D24" i="4"/>
  <c r="C5" i="4"/>
  <c r="D5" i="4" s="1"/>
  <c r="C6" i="4"/>
  <c r="D6" i="4" s="1"/>
  <c r="C7" i="4"/>
  <c r="D7" i="4" s="1"/>
  <c r="C11" i="4"/>
  <c r="D11" i="4" s="1"/>
  <c r="C15" i="4"/>
  <c r="D15" i="4" s="1"/>
  <c r="C16" i="4"/>
  <c r="C17" i="4"/>
  <c r="D17" i="4" s="1"/>
  <c r="C18" i="4"/>
  <c r="D18" i="4" s="1"/>
  <c r="C19" i="4"/>
  <c r="D19" i="4" s="1"/>
  <c r="C20" i="4"/>
  <c r="C21" i="4"/>
  <c r="D21" i="4" s="1"/>
  <c r="C22" i="4"/>
  <c r="D22" i="4" s="1"/>
  <c r="C23" i="4"/>
  <c r="D23" i="4" s="1"/>
  <c r="C24" i="4"/>
  <c r="C25" i="4"/>
  <c r="D25" i="4" s="1"/>
  <c r="C26" i="4"/>
  <c r="D26" i="4" s="1"/>
  <c r="C4" i="4"/>
  <c r="D4" i="4" s="1"/>
  <c r="B8" i="4"/>
  <c r="B12" i="4" s="1"/>
  <c r="C12" i="4" s="1"/>
  <c r="D12" i="4" s="1"/>
  <c r="B27" i="4"/>
  <c r="C27" i="4" s="1"/>
  <c r="D27" i="4" s="1"/>
  <c r="C12" i="3"/>
  <c r="H7" i="3"/>
  <c r="H6" i="3"/>
  <c r="H5" i="3"/>
  <c r="H4" i="3"/>
  <c r="G7" i="3"/>
  <c r="G6" i="3"/>
  <c r="G5" i="3"/>
  <c r="G4" i="3"/>
  <c r="F7" i="3"/>
  <c r="F6" i="3"/>
  <c r="F5" i="3"/>
  <c r="F4" i="3"/>
  <c r="E7" i="3"/>
  <c r="E6" i="3"/>
  <c r="E5" i="3"/>
  <c r="E4" i="3"/>
  <c r="D7" i="3"/>
  <c r="D6" i="3"/>
  <c r="D5" i="3"/>
  <c r="D4" i="3"/>
  <c r="C7" i="3"/>
  <c r="C6" i="3"/>
  <c r="C5" i="3"/>
  <c r="C4" i="3"/>
  <c r="I18" i="3"/>
  <c r="I19" i="3"/>
  <c r="I20" i="3"/>
  <c r="I21" i="3"/>
  <c r="I22" i="3"/>
  <c r="I23" i="3"/>
  <c r="I24" i="3"/>
  <c r="I25" i="3"/>
  <c r="I26" i="3"/>
  <c r="I27" i="3"/>
  <c r="I28" i="3"/>
  <c r="I29" i="3"/>
  <c r="I30" i="3"/>
  <c r="I17" i="3"/>
  <c r="F30" i="1"/>
  <c r="E33" i="1"/>
  <c r="E32" i="1"/>
  <c r="E31" i="1"/>
  <c r="F31" i="1" s="1"/>
  <c r="D33" i="1"/>
  <c r="D32" i="1"/>
  <c r="D31" i="1"/>
  <c r="D30" i="1"/>
  <c r="D24" i="1"/>
  <c r="D23" i="1"/>
  <c r="D22" i="1"/>
  <c r="D82" i="17" l="1"/>
  <c r="B86" i="17" s="1"/>
  <c r="C19" i="17"/>
  <c r="D19" i="17" s="1"/>
  <c r="D58" i="17"/>
  <c r="B61" i="17" s="1"/>
  <c r="G54" i="13"/>
  <c r="D57" i="13" s="1"/>
  <c r="D82" i="13"/>
  <c r="D83" i="13" s="1"/>
  <c r="C10" i="13"/>
  <c r="C19" i="13" s="1"/>
  <c r="C37" i="13" s="1"/>
  <c r="B19" i="13"/>
  <c r="B37" i="13" s="1"/>
  <c r="C39" i="10"/>
  <c r="C46" i="10"/>
  <c r="D42" i="10"/>
  <c r="D44" i="10"/>
  <c r="D35" i="10"/>
  <c r="B48" i="10"/>
  <c r="G30" i="1"/>
  <c r="F32" i="1"/>
  <c r="F33" i="1"/>
  <c r="O21" i="9"/>
  <c r="O39" i="9" s="1"/>
  <c r="K21" i="9"/>
  <c r="K39" i="9" s="1"/>
  <c r="G19" i="8"/>
  <c r="G21" i="8"/>
  <c r="G18" i="8"/>
  <c r="B23" i="8"/>
  <c r="G20" i="8"/>
  <c r="D20" i="5"/>
  <c r="D24" i="5"/>
  <c r="B20" i="5"/>
  <c r="C8" i="4"/>
  <c r="D8" i="4" s="1"/>
  <c r="B29" i="4"/>
  <c r="C29" i="4" s="1"/>
  <c r="D29" i="4" s="1"/>
  <c r="I7" i="3"/>
  <c r="I6" i="3"/>
  <c r="I5" i="3"/>
  <c r="H31" i="3"/>
  <c r="G31" i="3"/>
  <c r="F31" i="3"/>
  <c r="E31" i="3"/>
  <c r="D31" i="3"/>
  <c r="C31" i="3"/>
  <c r="B31" i="3"/>
  <c r="H8" i="3"/>
  <c r="G8" i="3"/>
  <c r="F8" i="3"/>
  <c r="E8" i="3"/>
  <c r="D8" i="3"/>
  <c r="D86" i="17" l="1"/>
  <c r="C86" i="17"/>
  <c r="C87" i="17"/>
  <c r="F87" i="17"/>
  <c r="E87" i="17"/>
  <c r="F86" i="17"/>
  <c r="E86" i="17"/>
  <c r="D87" i="17"/>
  <c r="C61" i="17"/>
  <c r="C62" i="17"/>
  <c r="F62" i="17"/>
  <c r="E61" i="17"/>
  <c r="E62" i="17"/>
  <c r="F61" i="17"/>
  <c r="D62" i="17"/>
  <c r="D61" i="17"/>
  <c r="C37" i="17"/>
  <c r="D58" i="13"/>
  <c r="B61" i="13" s="1"/>
  <c r="D46" i="10"/>
  <c r="C48" i="10"/>
  <c r="D48" i="10" s="1"/>
  <c r="D39" i="10"/>
  <c r="H30" i="1"/>
  <c r="G23" i="8"/>
  <c r="D27" i="8" s="1"/>
  <c r="D28" i="8" s="1"/>
  <c r="B35" i="8" s="1"/>
  <c r="F34" i="3"/>
  <c r="H14" i="3"/>
  <c r="H34" i="3" s="1"/>
  <c r="B34" i="3"/>
  <c r="E14" i="3"/>
  <c r="E34" i="3" s="1"/>
  <c r="D14" i="3"/>
  <c r="D34" i="3" s="1"/>
  <c r="G14" i="3"/>
  <c r="G34" i="3" s="1"/>
  <c r="I31" i="3"/>
  <c r="I4" i="3"/>
  <c r="I8" i="3" s="1"/>
  <c r="E61" i="13" l="1"/>
  <c r="C62" i="13"/>
  <c r="D62" i="13"/>
  <c r="C61" i="13"/>
  <c r="E62" i="13"/>
  <c r="F61" i="13"/>
  <c r="F62" i="13"/>
  <c r="D61" i="13"/>
  <c r="N31" i="1"/>
  <c r="E35" i="8"/>
  <c r="E36" i="8" s="1"/>
  <c r="D35" i="8"/>
  <c r="D36" i="8" s="1"/>
  <c r="C35" i="8"/>
  <c r="C36" i="8" s="1"/>
  <c r="F35" i="8"/>
  <c r="F36" i="8" s="1"/>
  <c r="I14" i="3"/>
  <c r="N14" i="1"/>
  <c r="N7" i="1"/>
  <c r="B19" i="1"/>
  <c r="D38" i="1" s="1"/>
  <c r="G31" i="1"/>
  <c r="G32" i="1"/>
  <c r="H32" i="1" s="1"/>
  <c r="G33" i="1"/>
  <c r="H33" i="1" s="1"/>
  <c r="B35" i="1"/>
  <c r="H31" i="1" l="1"/>
  <c r="N16" i="1"/>
  <c r="N34" i="1" s="1"/>
  <c r="D39" i="1" l="1"/>
  <c r="D40" i="1" l="1"/>
  <c r="B44" i="1" s="1"/>
  <c r="C44" i="1" s="1"/>
  <c r="C8" i="3"/>
  <c r="E44" i="1" l="1"/>
  <c r="D44" i="1"/>
  <c r="F44" i="1"/>
  <c r="D45" i="1"/>
  <c r="F45" i="1"/>
  <c r="E45" i="1"/>
  <c r="C14" i="3"/>
  <c r="C34" i="3" s="1"/>
  <c r="I34" i="3" s="1"/>
  <c r="B86" i="13" l="1"/>
  <c r="D87" i="13" s="1"/>
  <c r="E87" i="13" l="1"/>
  <c r="F87" i="13"/>
  <c r="C87" i="13"/>
  <c r="F86" i="13"/>
  <c r="E86" i="13"/>
  <c r="D86" i="13"/>
  <c r="C86" i="13"/>
</calcChain>
</file>

<file path=xl/comments1.xml><?xml version="1.0" encoding="utf-8"?>
<comments xmlns="http://schemas.openxmlformats.org/spreadsheetml/2006/main">
  <authors>
    <author>Author</author>
  </authors>
  <commentList>
    <comment ref="D7" authorId="0">
      <text>
        <r>
          <rPr>
            <b/>
            <sz val="9"/>
            <color indexed="81"/>
            <rFont val="Tahoma"/>
            <family val="2"/>
          </rPr>
          <t xml:space="preserve">Sales Price Per Unit - COGS = Contribution Margin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21" authorId="0">
      <text>
        <r>
          <rPr>
            <b/>
            <sz val="9"/>
            <color indexed="81"/>
            <rFont val="Tahoma"/>
            <family val="2"/>
          </rPr>
          <t xml:space="preserve">Sales Price Per Unit - COGS = Contribution Margin
</t>
        </r>
        <r>
          <rPr>
            <sz val="9"/>
            <color indexed="81"/>
            <rFont val="Tahoma"/>
            <family val="2"/>
          </rPr>
          <t xml:space="preserve">
</t>
        </r>
      </text>
    </comment>
  </commentList>
</comments>
</file>

<file path=xl/sharedStrings.xml><?xml version="1.0" encoding="utf-8"?>
<sst xmlns="http://schemas.openxmlformats.org/spreadsheetml/2006/main" count="874" uniqueCount="159">
  <si>
    <t>BREAKEVEN POINT CALCULATION</t>
  </si>
  <si>
    <t>Rent</t>
  </si>
  <si>
    <t>Electricity</t>
  </si>
  <si>
    <t>Telephone</t>
  </si>
  <si>
    <t>Water /Sewer</t>
  </si>
  <si>
    <t>Salaries</t>
  </si>
  <si>
    <t>Owner's Draw</t>
  </si>
  <si>
    <t>Office Supplies</t>
  </si>
  <si>
    <t>Loan Payment</t>
  </si>
  <si>
    <t>Insurance</t>
  </si>
  <si>
    <t>Other</t>
  </si>
  <si>
    <t>Total Overhead</t>
  </si>
  <si>
    <t>% of</t>
  </si>
  <si>
    <t>Sales</t>
  </si>
  <si>
    <t>Profit</t>
  </si>
  <si>
    <t>Weighted</t>
  </si>
  <si>
    <t>Products/Services</t>
  </si>
  <si>
    <t>Price</t>
  </si>
  <si>
    <t>COGS</t>
  </si>
  <si>
    <t>Contribution</t>
  </si>
  <si>
    <t>Margin</t>
  </si>
  <si>
    <t>Profit Marg.</t>
  </si>
  <si>
    <t>(Must equal 100%)</t>
  </si>
  <si>
    <t>Average profit margin:</t>
  </si>
  <si>
    <t xml:space="preserve"> </t>
  </si>
  <si>
    <t>divided by</t>
  </si>
  <si>
    <t>Average Profit Margin</t>
  </si>
  <si>
    <t>= BREAKEVEN</t>
  </si>
  <si>
    <t>Avg Sales per Customer</t>
  </si>
  <si>
    <t>BREAKEVEN</t>
  </si>
  <si>
    <t>Monthly In Dollars</t>
  </si>
  <si>
    <t xml:space="preserve">      In Units</t>
  </si>
  <si>
    <t>Party Pooch</t>
  </si>
  <si>
    <t>Puppy Pamper</t>
  </si>
  <si>
    <t>Doggie Delight</t>
  </si>
  <si>
    <t>Canine Craving</t>
  </si>
  <si>
    <t>Website</t>
  </si>
  <si>
    <t>Internet</t>
  </si>
  <si>
    <t>INCOME:</t>
  </si>
  <si>
    <t>TOTAL INCOME:</t>
  </si>
  <si>
    <t>COST OF GOODS SOLD:</t>
  </si>
  <si>
    <t xml:space="preserve">Total cost of sales </t>
  </si>
  <si>
    <t>GROSS PROFIT</t>
  </si>
  <si>
    <t>OPERATING EXPENSES:</t>
  </si>
  <si>
    <t>TOTAL EXPENSES</t>
  </si>
  <si>
    <t>NET INCOME</t>
  </si>
  <si>
    <t>BEFORE TAXES</t>
  </si>
  <si>
    <t>EXPENSES</t>
  </si>
  <si>
    <t>Price ($)</t>
  </si>
  <si>
    <t>Demand (Q)</t>
  </si>
  <si>
    <t>Chicken Cuties</t>
  </si>
  <si>
    <t>Supply (Q)</t>
  </si>
  <si>
    <t>PROJECTED INCOME STATEMENT: SALTY PAWZ</t>
  </si>
  <si>
    <t>ONE TIME EXPENSES</t>
  </si>
  <si>
    <t>Month 1</t>
  </si>
  <si>
    <t>Month 2</t>
  </si>
  <si>
    <t>Month 3</t>
  </si>
  <si>
    <t>Month 4</t>
  </si>
  <si>
    <t>Month 5</t>
  </si>
  <si>
    <t>Month 6</t>
  </si>
  <si>
    <t>TOTAL</t>
  </si>
  <si>
    <t>Company Name: Salty Pawz</t>
  </si>
  <si>
    <t>Bison Bites</t>
  </si>
  <si>
    <t>Lamb Lovies</t>
  </si>
  <si>
    <t>PER UNIT Sales Price</t>
  </si>
  <si>
    <t>Contribution Margin</t>
  </si>
  <si>
    <t>PER UNIT COGS</t>
  </si>
  <si>
    <t>Chicken Cuties (12)</t>
  </si>
  <si>
    <t>Bison Bites (12)</t>
  </si>
  <si>
    <t>Lamb Lovies (12)</t>
  </si>
  <si>
    <t>Party Pooch (4 of Each)</t>
  </si>
  <si>
    <t>Units Per Product</t>
  </si>
  <si>
    <t>4/Each</t>
  </si>
  <si>
    <t>Apple Pay/Credit Card</t>
  </si>
  <si>
    <t>Commercial Kitchen Equipment</t>
  </si>
  <si>
    <t>Sales Price</t>
  </si>
  <si>
    <t xml:space="preserve">Party Pooch </t>
  </si>
  <si>
    <t xml:space="preserve">Chicken Cuties </t>
  </si>
  <si>
    <t xml:space="preserve">Bison Bites </t>
  </si>
  <si>
    <t xml:space="preserve">Lamb Lovies </t>
  </si>
  <si>
    <t>Income Statement</t>
  </si>
  <si>
    <t xml:space="preserve"> Supplies</t>
  </si>
  <si>
    <t>Misc.</t>
  </si>
  <si>
    <t>Assets</t>
  </si>
  <si>
    <t>Total current assets</t>
  </si>
  <si>
    <t>Other assets</t>
  </si>
  <si>
    <t>Liabilities and stockholders’ equity</t>
  </si>
  <si>
    <t>Accounts payable</t>
  </si>
  <si>
    <t>Total current liabilities</t>
  </si>
  <si>
    <t>Total long-term debt</t>
  </si>
  <si>
    <t>Accounts receivable</t>
  </si>
  <si>
    <t>Total Assets</t>
  </si>
  <si>
    <t>Total long term Assets</t>
  </si>
  <si>
    <t xml:space="preserve">Total Liabilities </t>
  </si>
  <si>
    <t>Salty Pawz Balance Sheet</t>
  </si>
  <si>
    <t>Owners Equity</t>
  </si>
  <si>
    <t>Total Liabilities and Owners Equity</t>
  </si>
  <si>
    <t>Equipment</t>
  </si>
  <si>
    <t>Cash in Bank</t>
  </si>
  <si>
    <t>Credit Card Debt</t>
  </si>
  <si>
    <t>Taxes Payable</t>
  </si>
  <si>
    <t>Long Term Loan Payable</t>
  </si>
  <si>
    <t>Dog Biscuit Inventory**</t>
  </si>
  <si>
    <t>** Ending Inventory in 2011 was $2,300</t>
  </si>
  <si>
    <t>Quantity Demanded</t>
  </si>
  <si>
    <t>Price Demanded</t>
  </si>
  <si>
    <t xml:space="preserve">What does the change in price and quantity do to Salty Pawz’s break-even point and the associated product mix and quantities? 
</t>
  </si>
  <si>
    <t xml:space="preserve">      In Single Units</t>
  </si>
  <si>
    <t>Before Supply &amp; Demand</t>
  </si>
  <si>
    <t>After Supply &amp; Demand</t>
  </si>
  <si>
    <t>Per Month</t>
  </si>
  <si>
    <t xml:space="preserve">6 Months </t>
  </si>
  <si>
    <t>Without Supply &amp; Demand Forecast</t>
  </si>
  <si>
    <t>Units</t>
  </si>
  <si>
    <t>Sold</t>
  </si>
  <si>
    <t>With Supply &amp; Demand Forecast</t>
  </si>
  <si>
    <t>6 Month</t>
  </si>
  <si>
    <t>+ Cost/Unit Outsourced</t>
  </si>
  <si>
    <t>NEW COGS</t>
  </si>
  <si>
    <t>NEW</t>
  </si>
  <si>
    <t>NEW Contribution Margin</t>
  </si>
  <si>
    <t>Home</t>
  </si>
  <si>
    <t>Outsourced</t>
  </si>
  <si>
    <t>6 Month Projection</t>
  </si>
  <si>
    <t>CURRENT</t>
  </si>
  <si>
    <t>Difference</t>
  </si>
  <si>
    <t xml:space="preserve"> Income Statement</t>
  </si>
  <si>
    <t>Based on 14,000 units sold</t>
  </si>
  <si>
    <t>Current Price</t>
  </si>
  <si>
    <t>Reduced Price</t>
  </si>
  <si>
    <t>With $0.25 Price Reduction in Bison Bites</t>
  </si>
  <si>
    <t>Break Even at Current Price</t>
  </si>
  <si>
    <t xml:space="preserve">Table 1. </t>
  </si>
  <si>
    <t>Price &amp; Mix Change</t>
  </si>
  <si>
    <t xml:space="preserve"> $0.25 Price Reduction in Bison Bites and a Change in Product Mix </t>
  </si>
  <si>
    <t>Change</t>
  </si>
  <si>
    <t>Sales Post Expansion</t>
  </si>
  <si>
    <t>Total</t>
  </si>
  <si>
    <t>Product Mix</t>
  </si>
  <si>
    <t>Current Ratio:</t>
  </si>
  <si>
    <t>Acid-Test Ratio</t>
  </si>
  <si>
    <t>Inventory Turnover</t>
  </si>
  <si>
    <t>15.4 - Ratio Analysis for Salty Pawz</t>
  </si>
  <si>
    <t>Liabilities</t>
  </si>
  <si>
    <t>Ratio</t>
  </si>
  <si>
    <t>Cash</t>
  </si>
  <si>
    <t>Current A/R</t>
  </si>
  <si>
    <t>Cash Equiv.</t>
  </si>
  <si>
    <t>Begin Inventory</t>
  </si>
  <si>
    <t>Ending Inv</t>
  </si>
  <si>
    <t>Avg Inventory</t>
  </si>
  <si>
    <t>Supplies</t>
  </si>
  <si>
    <t>Advertising</t>
  </si>
  <si>
    <t>One Month Income Statement</t>
  </si>
  <si>
    <t>1 Month Income Statement</t>
  </si>
  <si>
    <t>Units Sold</t>
  </si>
  <si>
    <t>Raise Prices on Each Item by $0.10</t>
  </si>
  <si>
    <t>Reduce Cost of Each Item by $0.10</t>
  </si>
  <si>
    <t>Reduce Cost of Each Item by $0.10 AND Raise Price by $0.10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</si>
</sst>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_(&quot;$&quot;* #,##0_);_(&quot;$&quot;* \(#,##0\);_(&quot;$&quot;* &quot;-&quot;??_);_(@_)"/>
    <numFmt numFmtId="166" formatCode="_(&quot;$&quot;* #,##0_);_(&quot;$&quot;* \(#,##0\);_(&quot;$&quot;* &quot;-&quot;?_);_(@_)"/>
    <numFmt numFmtId="167" formatCode="_(* #,##0_);_(* \(#,##0\);_(* &quot;-&quot;??_);_(@_)"/>
    <numFmt numFmtId="184" formatCode="0.0%"/>
    <numFmt numFmtId="187" formatCode="0.0"/>
  </numFmts>
  <fonts count="22" x14ac:knownFonts="1">
    <font>
      <sz val="10"/>
      <name val="MS Sans Serif"/>
    </font>
    <font>
      <sz val="10"/>
      <name val="MS Sans Serif"/>
      <family val="2"/>
    </font>
    <font>
      <sz val="10"/>
      <name val="Arial"/>
      <family val="2"/>
    </font>
    <font>
      <b/>
      <sz val="10"/>
      <name val="Arial"/>
      <family val="2"/>
    </font>
    <font>
      <b/>
      <u/>
      <sz val="10"/>
      <name val="Arial"/>
      <family val="2"/>
    </font>
    <font>
      <u/>
      <sz val="10"/>
      <name val="Arial"/>
      <family val="2"/>
    </font>
    <font>
      <sz val="9"/>
      <color indexed="81"/>
      <name val="Tahoma"/>
      <family val="2"/>
    </font>
    <font>
      <b/>
      <sz val="9"/>
      <color indexed="81"/>
      <name val="Tahoma"/>
      <family val="2"/>
    </font>
    <font>
      <b/>
      <sz val="11"/>
      <name val="Arial"/>
      <family val="2"/>
    </font>
    <font>
      <sz val="11"/>
      <name val="Arial"/>
      <family val="2"/>
    </font>
    <font>
      <i/>
      <sz val="11"/>
      <name val="Arial"/>
      <family val="2"/>
    </font>
    <font>
      <sz val="11"/>
      <name val="MS Sans Serif"/>
      <family val="2"/>
    </font>
    <font>
      <sz val="12"/>
      <name val="Arial"/>
      <family val="2"/>
    </font>
    <font>
      <b/>
      <sz val="12"/>
      <name val="Arial"/>
      <family val="2"/>
    </font>
    <font>
      <sz val="14"/>
      <name val="Arial"/>
      <family val="2"/>
    </font>
    <font>
      <sz val="12"/>
      <name val="MS Sans Serif"/>
      <family val="2"/>
    </font>
    <font>
      <i/>
      <sz val="11"/>
      <name val="MS Sans Serif"/>
      <family val="2"/>
    </font>
    <font>
      <sz val="10"/>
      <name val="MS Sans Serif"/>
      <family val="2"/>
    </font>
    <font>
      <b/>
      <u/>
      <sz val="11"/>
      <name val="Arial"/>
      <family val="2"/>
    </font>
    <font>
      <b/>
      <sz val="11"/>
      <color rgb="FF000000"/>
      <name val="Arial"/>
      <family val="2"/>
    </font>
    <font>
      <sz val="11"/>
      <color rgb="FF000000"/>
      <name val="Arial"/>
      <family val="2"/>
    </font>
    <font>
      <b/>
      <i/>
      <sz val="1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31">
    <border>
      <left/>
      <right/>
      <top/>
      <bottom/>
      <diagonal/>
    </border>
    <border>
      <left/>
      <right/>
      <top/>
      <bottom style="thick">
        <color indexed="64"/>
      </bottom>
      <diagonal/>
    </border>
    <border>
      <left/>
      <right/>
      <top style="thick">
        <color indexed="64"/>
      </top>
      <bottom/>
      <diagonal/>
    </border>
    <border>
      <left/>
      <right/>
      <top/>
      <bottom style="double">
        <color indexed="64"/>
      </bottom>
      <diagonal/>
    </border>
    <border>
      <left/>
      <right/>
      <top/>
      <bottom style="medium">
        <color indexed="64"/>
      </bottom>
      <diagonal/>
    </border>
    <border>
      <left/>
      <right/>
      <top style="double">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style="thin">
        <color indexed="64"/>
      </top>
      <bottom style="double">
        <color indexed="64"/>
      </bottom>
      <diagonal/>
    </border>
    <border>
      <left/>
      <right style="double">
        <color auto="1"/>
      </right>
      <top/>
      <bottom/>
      <diagonal/>
    </border>
    <border>
      <left style="double">
        <color auto="1"/>
      </left>
      <right/>
      <top/>
      <bottom style="double">
        <color auto="1"/>
      </bottom>
      <diagonal/>
    </border>
    <border>
      <left style="thin">
        <color indexed="64"/>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style="medium">
        <color auto="1"/>
      </bottom>
      <diagonal/>
    </border>
    <border>
      <left style="medium">
        <color auto="1"/>
      </left>
      <right/>
      <top style="medium">
        <color auto="1"/>
      </top>
      <bottom style="double">
        <color indexed="64"/>
      </bottom>
      <diagonal/>
    </border>
    <border>
      <left/>
      <right style="medium">
        <color auto="1"/>
      </right>
      <top style="medium">
        <color auto="1"/>
      </top>
      <bottom style="double">
        <color indexed="64"/>
      </bottom>
      <diagonal/>
    </border>
  </borders>
  <cellStyleXfs count="4">
    <xf numFmtId="0" fontId="0" fillId="0" borderId="0"/>
    <xf numFmtId="8"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cellStyleXfs>
  <cellXfs count="241">
    <xf numFmtId="0" fontId="0" fillId="0" borderId="0" xfId="0"/>
    <xf numFmtId="2" fontId="2" fillId="0" borderId="0" xfId="0" applyNumberFormat="1" applyFont="1" applyFill="1" applyBorder="1" applyAlignment="1" applyProtection="1">
      <protection locked="0"/>
    </xf>
    <xf numFmtId="7" fontId="2" fillId="0" borderId="0" xfId="0" applyNumberFormat="1" applyFont="1" applyFill="1" applyBorder="1" applyAlignment="1" applyProtection="1"/>
    <xf numFmtId="2" fontId="2" fillId="0" borderId="0" xfId="0" applyNumberFormat="1" applyFont="1" applyFill="1" applyBorder="1" applyAlignment="1" applyProtection="1"/>
    <xf numFmtId="2" fontId="2" fillId="0" borderId="0" xfId="0" applyNumberFormat="1" applyFont="1" applyFill="1" applyBorder="1" applyAlignment="1" applyProtection="1">
      <alignment horizontal="right"/>
    </xf>
    <xf numFmtId="2" fontId="4" fillId="0" borderId="0" xfId="0" applyNumberFormat="1" applyFont="1" applyFill="1" applyBorder="1" applyAlignment="1" applyProtection="1"/>
    <xf numFmtId="2" fontId="5" fillId="0" borderId="0" xfId="0" applyNumberFormat="1" applyFont="1" applyFill="1" applyBorder="1" applyAlignment="1" applyProtection="1"/>
    <xf numFmtId="9" fontId="2" fillId="0" borderId="0" xfId="0" applyNumberFormat="1" applyFont="1" applyFill="1" applyBorder="1" applyAlignment="1" applyProtection="1"/>
    <xf numFmtId="9" fontId="2" fillId="0" borderId="0" xfId="0" applyNumberFormat="1" applyFont="1" applyFill="1" applyBorder="1" applyAlignment="1" applyProtection="1">
      <protection locked="0"/>
    </xf>
    <xf numFmtId="2" fontId="2" fillId="0" borderId="1" xfId="0" applyNumberFormat="1" applyFont="1" applyFill="1" applyBorder="1" applyAlignment="1" applyProtection="1"/>
    <xf numFmtId="9" fontId="2" fillId="0" borderId="1" xfId="0" applyNumberFormat="1" applyFont="1" applyFill="1" applyBorder="1" applyAlignment="1" applyProtection="1"/>
    <xf numFmtId="2" fontId="3" fillId="0" borderId="0" xfId="0" applyNumberFormat="1" applyFont="1" applyFill="1" applyBorder="1" applyAlignment="1" applyProtection="1"/>
    <xf numFmtId="2" fontId="4" fillId="0" borderId="0" xfId="0" applyNumberFormat="1" applyFont="1" applyFill="1" applyBorder="1" applyAlignment="1" applyProtection="1">
      <protection locked="0"/>
    </xf>
    <xf numFmtId="7" fontId="2" fillId="0" borderId="2" xfId="0" applyNumberFormat="1" applyFont="1" applyFill="1" applyBorder="1" applyAlignment="1" applyProtection="1"/>
    <xf numFmtId="2" fontId="2" fillId="0" borderId="0" xfId="0" applyNumberFormat="1" applyFont="1" applyFill="1" applyBorder="1" applyAlignment="1" applyProtection="1">
      <alignment horizontal="center"/>
    </xf>
    <xf numFmtId="2" fontId="2" fillId="0" borderId="1" xfId="0" applyNumberFormat="1" applyFont="1" applyFill="1" applyBorder="1" applyAlignment="1" applyProtection="1">
      <alignment horizontal="center"/>
    </xf>
    <xf numFmtId="8" fontId="2" fillId="0" borderId="0" xfId="1" applyFont="1" applyFill="1" applyBorder="1" applyAlignment="1" applyProtection="1"/>
    <xf numFmtId="10" fontId="2" fillId="0" borderId="0" xfId="2" applyNumberFormat="1" applyFont="1" applyFill="1" applyBorder="1" applyAlignment="1" applyProtection="1"/>
    <xf numFmtId="7" fontId="2" fillId="0" borderId="0" xfId="0" applyNumberFormat="1" applyFont="1" applyFill="1" applyBorder="1" applyAlignment="1" applyProtection="1">
      <alignment horizontal="right"/>
    </xf>
    <xf numFmtId="10" fontId="2" fillId="0" borderId="0" xfId="0" applyNumberFormat="1" applyFont="1" applyFill="1" applyBorder="1" applyAlignment="1" applyProtection="1"/>
    <xf numFmtId="2" fontId="2" fillId="0" borderId="0" xfId="0" applyNumberFormat="1" applyFont="1" applyFill="1" applyBorder="1" applyAlignment="1" applyProtection="1">
      <alignment horizontal="center" wrapText="1"/>
    </xf>
    <xf numFmtId="1" fontId="2" fillId="0" borderId="0" xfId="0" applyNumberFormat="1" applyFont="1" applyFill="1" applyBorder="1" applyAlignment="1" applyProtection="1">
      <alignment horizontal="center"/>
    </xf>
    <xf numFmtId="3" fontId="3" fillId="0" borderId="0" xfId="0" applyNumberFormat="1" applyFont="1"/>
    <xf numFmtId="3" fontId="2" fillId="0" borderId="0" xfId="0" applyNumberFormat="1" applyFont="1"/>
    <xf numFmtId="3" fontId="2" fillId="0" borderId="0" xfId="0" applyNumberFormat="1" applyFont="1" applyProtection="1">
      <protection locked="0"/>
    </xf>
    <xf numFmtId="44" fontId="2" fillId="0" borderId="0" xfId="0" applyNumberFormat="1" applyFont="1"/>
    <xf numFmtId="44" fontId="2" fillId="0" borderId="3" xfId="0" applyNumberFormat="1" applyFont="1" applyBorder="1"/>
    <xf numFmtId="44" fontId="3" fillId="0" borderId="0" xfId="0" applyNumberFormat="1" applyFont="1"/>
    <xf numFmtId="0" fontId="0" fillId="0" borderId="0" xfId="0" applyAlignment="1">
      <alignment horizontal="center" wrapText="1"/>
    </xf>
    <xf numFmtId="0" fontId="0" fillId="0" borderId="0" xfId="0" applyAlignment="1">
      <alignment horizontal="center" wrapText="1"/>
    </xf>
    <xf numFmtId="8" fontId="0" fillId="0" borderId="0" xfId="1" applyFont="1"/>
    <xf numFmtId="0" fontId="0" fillId="0" borderId="3" xfId="0" applyBorder="1" applyAlignment="1">
      <alignment horizontal="center"/>
    </xf>
    <xf numFmtId="0" fontId="1" fillId="0" borderId="3" xfId="0" applyFont="1" applyBorder="1" applyAlignment="1">
      <alignment horizontal="center"/>
    </xf>
    <xf numFmtId="0" fontId="0" fillId="0" borderId="3" xfId="0" applyBorder="1"/>
    <xf numFmtId="0" fontId="1" fillId="0" borderId="3" xfId="0" applyFont="1" applyBorder="1"/>
    <xf numFmtId="0" fontId="0" fillId="0" borderId="0" xfId="0" applyAlignment="1">
      <alignment horizontal="center" wrapText="1"/>
    </xf>
    <xf numFmtId="2" fontId="2" fillId="0" borderId="0" xfId="0" applyNumberFormat="1" applyFont="1" applyFill="1" applyBorder="1" applyAlignment="1" applyProtection="1">
      <alignment horizontal="center" wrapText="1"/>
    </xf>
    <xf numFmtId="1" fontId="2" fillId="0" borderId="0" xfId="0" applyNumberFormat="1" applyFont="1" applyFill="1" applyBorder="1" applyAlignment="1" applyProtection="1">
      <protection locked="0"/>
    </xf>
    <xf numFmtId="49" fontId="2" fillId="0" borderId="0" xfId="0" applyNumberFormat="1" applyFont="1" applyFill="1" applyBorder="1" applyAlignment="1" applyProtection="1">
      <alignment horizontal="right"/>
      <protection locked="0"/>
    </xf>
    <xf numFmtId="164" fontId="2" fillId="0" borderId="0" xfId="2" applyNumberFormat="1" applyFont="1" applyFill="1" applyBorder="1" applyAlignment="1" applyProtection="1"/>
    <xf numFmtId="49" fontId="2" fillId="0" borderId="0" xfId="0" applyNumberFormat="1" applyFont="1" applyFill="1" applyBorder="1" applyAlignment="1" applyProtection="1">
      <alignment horizontal="center" wrapText="1"/>
    </xf>
    <xf numFmtId="3" fontId="9" fillId="0" borderId="0" xfId="0" applyNumberFormat="1" applyFont="1" applyProtection="1">
      <protection locked="0"/>
    </xf>
    <xf numFmtId="3" fontId="9" fillId="0" borderId="0" xfId="0" applyNumberFormat="1" applyFont="1" applyAlignment="1">
      <alignment horizontal="center" wrapText="1"/>
    </xf>
    <xf numFmtId="3" fontId="9" fillId="0" borderId="0" xfId="0" applyNumberFormat="1" applyFont="1" applyAlignment="1">
      <alignment horizontal="center"/>
    </xf>
    <xf numFmtId="3" fontId="8" fillId="0" borderId="0" xfId="0" applyNumberFormat="1" applyFont="1"/>
    <xf numFmtId="3" fontId="9" fillId="0" borderId="0" xfId="0" applyNumberFormat="1" applyFont="1"/>
    <xf numFmtId="3" fontId="9" fillId="0" borderId="3" xfId="0" applyNumberFormat="1" applyFont="1" applyBorder="1"/>
    <xf numFmtId="3" fontId="9" fillId="0" borderId="5" xfId="0" applyNumberFormat="1" applyFont="1" applyBorder="1"/>
    <xf numFmtId="3" fontId="10" fillId="0" borderId="0" xfId="0" applyNumberFormat="1" applyFont="1"/>
    <xf numFmtId="7" fontId="9" fillId="0" borderId="0" xfId="0" applyNumberFormat="1" applyFont="1" applyProtection="1">
      <protection locked="0"/>
    </xf>
    <xf numFmtId="2" fontId="9" fillId="0" borderId="0" xfId="0" applyNumberFormat="1" applyFont="1" applyFill="1" applyBorder="1" applyAlignment="1" applyProtection="1"/>
    <xf numFmtId="2" fontId="9" fillId="0" borderId="0" xfId="0" applyNumberFormat="1" applyFont="1" applyFill="1" applyBorder="1" applyAlignment="1" applyProtection="1">
      <alignment wrapText="1"/>
    </xf>
    <xf numFmtId="0" fontId="11" fillId="0" borderId="0" xfId="0" applyFont="1"/>
    <xf numFmtId="2" fontId="9" fillId="0" borderId="1" xfId="0" applyNumberFormat="1" applyFont="1" applyFill="1" applyBorder="1" applyAlignment="1" applyProtection="1"/>
    <xf numFmtId="2" fontId="9" fillId="0" borderId="0" xfId="0" applyNumberFormat="1" applyFont="1" applyFill="1" applyBorder="1" applyAlignment="1" applyProtection="1">
      <protection locked="0"/>
    </xf>
    <xf numFmtId="2" fontId="9" fillId="0" borderId="0" xfId="0" applyNumberFormat="1" applyFont="1" applyFill="1" applyBorder="1" applyAlignment="1" applyProtection="1">
      <alignment horizontal="right"/>
      <protection locked="0"/>
    </xf>
    <xf numFmtId="0" fontId="13" fillId="0" borderId="0" xfId="0" applyFont="1" applyAlignment="1">
      <alignment horizontal="center" vertical="center"/>
    </xf>
    <xf numFmtId="3" fontId="12" fillId="0" borderId="0" xfId="0" applyNumberFormat="1" applyFont="1"/>
    <xf numFmtId="44" fontId="12" fillId="0" borderId="0" xfId="0" applyNumberFormat="1" applyFont="1"/>
    <xf numFmtId="0" fontId="12" fillId="0" borderId="0" xfId="0" applyFont="1"/>
    <xf numFmtId="44" fontId="0" fillId="0" borderId="0" xfId="0" applyNumberFormat="1"/>
    <xf numFmtId="49" fontId="13" fillId="0" borderId="0" xfId="0" applyNumberFormat="1" applyFont="1" applyAlignment="1">
      <alignment horizontal="center" vertical="center"/>
    </xf>
    <xf numFmtId="0" fontId="15" fillId="0" borderId="0" xfId="0" applyFont="1"/>
    <xf numFmtId="165" fontId="12" fillId="0" borderId="0" xfId="0" applyNumberFormat="1" applyFont="1"/>
    <xf numFmtId="165" fontId="12" fillId="0" borderId="3" xfId="0" applyNumberFormat="1" applyFont="1" applyBorder="1"/>
    <xf numFmtId="165" fontId="13" fillId="0" borderId="0" xfId="0" applyNumberFormat="1" applyFont="1"/>
    <xf numFmtId="0" fontId="12" fillId="0" borderId="0" xfId="0" applyFont="1" applyAlignment="1">
      <alignment horizontal="right"/>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center"/>
    </xf>
    <xf numFmtId="165" fontId="12" fillId="0" borderId="0" xfId="0" applyNumberFormat="1" applyFont="1" applyAlignment="1">
      <alignment horizontal="right"/>
    </xf>
    <xf numFmtId="165" fontId="13" fillId="0" borderId="0" xfId="0" applyNumberFormat="1" applyFont="1" applyBorder="1"/>
    <xf numFmtId="165" fontId="13" fillId="0" borderId="3" xfId="0" applyNumberFormat="1" applyFont="1" applyBorder="1"/>
    <xf numFmtId="165" fontId="12" fillId="0" borderId="4" xfId="0" applyNumberFormat="1" applyFont="1" applyBorder="1"/>
    <xf numFmtId="166" fontId="12" fillId="0" borderId="0" xfId="0" applyNumberFormat="1" applyFont="1"/>
    <xf numFmtId="166" fontId="12" fillId="0" borderId="4" xfId="0" applyNumberFormat="1" applyFont="1" applyBorder="1"/>
    <xf numFmtId="166" fontId="13" fillId="0" borderId="0" xfId="0" applyNumberFormat="1" applyFont="1"/>
    <xf numFmtId="166" fontId="13" fillId="0" borderId="3" xfId="0" applyNumberFormat="1" applyFont="1" applyBorder="1"/>
    <xf numFmtId="3" fontId="10" fillId="0" borderId="0" xfId="0" applyNumberFormat="1" applyFont="1" applyAlignment="1">
      <alignment horizontal="center"/>
    </xf>
    <xf numFmtId="3" fontId="10" fillId="0" borderId="5" xfId="0" applyNumberFormat="1" applyFont="1" applyBorder="1"/>
    <xf numFmtId="3" fontId="10" fillId="0" borderId="3" xfId="0" applyNumberFormat="1" applyFont="1" applyBorder="1"/>
    <xf numFmtId="0" fontId="16" fillId="0" borderId="0" xfId="0" applyFont="1"/>
    <xf numFmtId="2" fontId="10" fillId="0" borderId="0" xfId="0" applyNumberFormat="1" applyFont="1" applyFill="1" applyBorder="1" applyAlignment="1" applyProtection="1"/>
    <xf numFmtId="2" fontId="2" fillId="0" borderId="0" xfId="0" applyNumberFormat="1" applyFont="1" applyFill="1" applyBorder="1" applyAlignment="1" applyProtection="1">
      <alignment horizontal="center" wrapText="1"/>
    </xf>
    <xf numFmtId="2" fontId="9" fillId="0" borderId="0" xfId="0" applyNumberFormat="1" applyFont="1" applyFill="1" applyBorder="1" applyAlignment="1" applyProtection="1">
      <alignment horizontal="center"/>
    </xf>
    <xf numFmtId="2" fontId="9" fillId="0" borderId="4" xfId="0" applyNumberFormat="1" applyFont="1" applyFill="1" applyBorder="1" applyAlignment="1" applyProtection="1"/>
    <xf numFmtId="0" fontId="9" fillId="0" borderId="4" xfId="0" applyFont="1" applyBorder="1" applyAlignment="1">
      <alignment horizontal="center"/>
    </xf>
    <xf numFmtId="8" fontId="9" fillId="0" borderId="0" xfId="1" applyFont="1" applyFill="1" applyBorder="1" applyAlignment="1" applyProtection="1"/>
    <xf numFmtId="10" fontId="9" fillId="0" borderId="0" xfId="2" applyNumberFormat="1" applyFont="1" applyFill="1" applyBorder="1" applyAlignment="1" applyProtection="1"/>
    <xf numFmtId="0" fontId="9" fillId="0" borderId="0" xfId="0" applyFont="1"/>
    <xf numFmtId="2" fontId="8" fillId="0" borderId="0" xfId="0" applyNumberFormat="1" applyFont="1" applyFill="1" applyBorder="1" applyAlignment="1" applyProtection="1"/>
    <xf numFmtId="2" fontId="8" fillId="0" borderId="0" xfId="0" applyNumberFormat="1" applyFont="1" applyFill="1" applyBorder="1" applyAlignment="1" applyProtection="1">
      <alignment horizontal="right" wrapText="1"/>
    </xf>
    <xf numFmtId="7" fontId="9" fillId="0" borderId="0" xfId="0" applyNumberFormat="1" applyFont="1" applyFill="1" applyBorder="1" applyAlignment="1" applyProtection="1"/>
    <xf numFmtId="2" fontId="9" fillId="0" borderId="0" xfId="0" applyNumberFormat="1" applyFont="1" applyFill="1" applyBorder="1" applyAlignment="1" applyProtection="1">
      <alignment horizontal="right"/>
    </xf>
    <xf numFmtId="10" fontId="9" fillId="0" borderId="0" xfId="0" applyNumberFormat="1" applyFont="1" applyFill="1" applyBorder="1" applyAlignment="1" applyProtection="1"/>
    <xf numFmtId="2" fontId="18" fillId="0" borderId="0" xfId="0" applyNumberFormat="1" applyFont="1" applyFill="1" applyBorder="1" applyAlignment="1" applyProtection="1"/>
    <xf numFmtId="7" fontId="9" fillId="0" borderId="2" xfId="0" applyNumberFormat="1" applyFont="1" applyFill="1" applyBorder="1" applyAlignment="1" applyProtection="1"/>
    <xf numFmtId="2" fontId="9" fillId="0" borderId="1" xfId="0" applyNumberFormat="1" applyFont="1" applyFill="1" applyBorder="1" applyAlignment="1" applyProtection="1">
      <alignment horizontal="center"/>
    </xf>
    <xf numFmtId="9" fontId="9" fillId="0" borderId="0" xfId="0" applyNumberFormat="1" applyFont="1" applyFill="1" applyBorder="1" applyAlignment="1" applyProtection="1">
      <protection locked="0"/>
    </xf>
    <xf numFmtId="49" fontId="9" fillId="0" borderId="0" xfId="0" applyNumberFormat="1" applyFont="1" applyFill="1" applyBorder="1" applyAlignment="1" applyProtection="1">
      <alignment horizontal="right"/>
      <protection locked="0"/>
    </xf>
    <xf numFmtId="1" fontId="9" fillId="0" borderId="0" xfId="0" applyNumberFormat="1" applyFont="1" applyFill="1" applyBorder="1" applyAlignment="1" applyProtection="1">
      <protection locked="0"/>
    </xf>
    <xf numFmtId="164" fontId="9" fillId="0" borderId="0" xfId="2" applyNumberFormat="1" applyFont="1" applyFill="1" applyBorder="1" applyAlignment="1" applyProtection="1"/>
    <xf numFmtId="9" fontId="9" fillId="0" borderId="1" xfId="0" applyNumberFormat="1" applyFont="1" applyFill="1" applyBorder="1" applyAlignment="1" applyProtection="1"/>
    <xf numFmtId="9" fontId="9" fillId="0" borderId="0" xfId="0" applyNumberFormat="1" applyFont="1" applyFill="1" applyBorder="1" applyAlignment="1" applyProtection="1"/>
    <xf numFmtId="2" fontId="9" fillId="0" borderId="0" xfId="0" applyNumberFormat="1" applyFont="1" applyFill="1" applyBorder="1" applyAlignment="1" applyProtection="1">
      <alignment horizontal="center" wrapText="1"/>
    </xf>
    <xf numFmtId="7" fontId="9" fillId="0" borderId="0" xfId="0" applyNumberFormat="1" applyFont="1" applyFill="1" applyBorder="1" applyAlignment="1" applyProtection="1">
      <alignment horizontal="right"/>
    </xf>
    <xf numFmtId="1" fontId="9" fillId="0" borderId="0"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wrapText="1"/>
    </xf>
    <xf numFmtId="2" fontId="9" fillId="0" borderId="0" xfId="0" applyNumberFormat="1" applyFont="1" applyFill="1" applyBorder="1" applyAlignment="1" applyProtection="1">
      <alignment horizontal="center"/>
    </xf>
    <xf numFmtId="0" fontId="9" fillId="0" borderId="0" xfId="0" applyFont="1" applyAlignment="1">
      <alignment horizontal="center"/>
    </xf>
    <xf numFmtId="0" fontId="9" fillId="0" borderId="3" xfId="0" applyFont="1" applyBorder="1" applyAlignment="1">
      <alignment horizontal="center"/>
    </xf>
    <xf numFmtId="0" fontId="8" fillId="0" borderId="0" xfId="0" applyFont="1" applyAlignment="1">
      <alignment horizontal="center"/>
    </xf>
    <xf numFmtId="8" fontId="9" fillId="0" borderId="0" xfId="1" applyFont="1" applyFill="1" applyBorder="1" applyAlignment="1" applyProtection="1">
      <protection locked="0"/>
    </xf>
    <xf numFmtId="0" fontId="0" fillId="0" borderId="0" xfId="0" applyBorder="1"/>
    <xf numFmtId="2" fontId="8" fillId="0" borderId="0" xfId="0" applyNumberFormat="1" applyFont="1" applyFill="1" applyBorder="1" applyAlignment="1" applyProtection="1">
      <alignment horizontal="center"/>
    </xf>
    <xf numFmtId="2" fontId="8" fillId="0" borderId="0" xfId="0" applyNumberFormat="1" applyFont="1" applyFill="1" applyBorder="1" applyAlignment="1" applyProtection="1">
      <alignment horizontal="center"/>
    </xf>
    <xf numFmtId="7" fontId="8" fillId="0" borderId="0" xfId="0" applyNumberFormat="1" applyFont="1" applyFill="1" applyBorder="1" applyAlignment="1" applyProtection="1"/>
    <xf numFmtId="8" fontId="9" fillId="0" borderId="6" xfId="1" applyFont="1" applyFill="1" applyBorder="1" applyAlignment="1" applyProtection="1">
      <alignment wrapText="1"/>
    </xf>
    <xf numFmtId="2" fontId="2" fillId="0" borderId="3" xfId="0" applyNumberFormat="1" applyFont="1" applyFill="1" applyBorder="1" applyAlignment="1" applyProtection="1"/>
    <xf numFmtId="2" fontId="2" fillId="0" borderId="3" xfId="0" applyNumberFormat="1" applyFont="1" applyFill="1" applyBorder="1" applyAlignment="1" applyProtection="1">
      <alignment horizontal="center" wrapText="1"/>
    </xf>
    <xf numFmtId="2" fontId="9" fillId="0" borderId="3" xfId="0" applyNumberFormat="1" applyFont="1" applyFill="1" applyBorder="1" applyAlignment="1" applyProtection="1">
      <alignment horizontal="center" wrapText="1"/>
    </xf>
    <xf numFmtId="1" fontId="9" fillId="0" borderId="0" xfId="0" applyNumberFormat="1" applyFont="1" applyFill="1" applyBorder="1" applyAlignment="1" applyProtection="1"/>
    <xf numFmtId="1" fontId="9" fillId="0" borderId="0" xfId="0" applyNumberFormat="1" applyFont="1" applyFill="1" applyBorder="1" applyAlignment="1" applyProtection="1">
      <alignment horizontal="right"/>
    </xf>
    <xf numFmtId="2" fontId="9" fillId="0" borderId="3" xfId="0" applyNumberFormat="1" applyFont="1" applyFill="1" applyBorder="1" applyAlignment="1" applyProtection="1"/>
    <xf numFmtId="1" fontId="2" fillId="0" borderId="0" xfId="0" applyNumberFormat="1" applyFont="1" applyFill="1" applyBorder="1" applyAlignment="1" applyProtection="1"/>
    <xf numFmtId="0" fontId="0" fillId="0" borderId="0" xfId="0" applyAlignment="1">
      <alignment horizontal="right"/>
    </xf>
    <xf numFmtId="0" fontId="10" fillId="0" borderId="0" xfId="0" applyFont="1" applyBorder="1" applyAlignment="1">
      <alignment horizontal="right"/>
    </xf>
    <xf numFmtId="8" fontId="9" fillId="0" borderId="0" xfId="1" applyFont="1" applyBorder="1" applyAlignment="1">
      <alignment horizontal="right"/>
    </xf>
    <xf numFmtId="8" fontId="9" fillId="0" borderId="3" xfId="1" applyFont="1" applyBorder="1" applyAlignment="1">
      <alignment horizontal="right"/>
    </xf>
    <xf numFmtId="8" fontId="9" fillId="0" borderId="0" xfId="0" applyNumberFormat="1" applyFont="1" applyBorder="1" applyAlignment="1">
      <alignment horizontal="right"/>
    </xf>
    <xf numFmtId="2" fontId="10" fillId="0" borderId="0" xfId="0" applyNumberFormat="1" applyFont="1" applyFill="1" applyBorder="1" applyAlignment="1" applyProtection="1">
      <alignment horizontal="right"/>
    </xf>
    <xf numFmtId="2" fontId="9" fillId="0" borderId="3" xfId="0" applyNumberFormat="1" applyFont="1" applyFill="1" applyBorder="1" applyAlignment="1" applyProtection="1">
      <alignment horizontal="right"/>
      <protection locked="0"/>
    </xf>
    <xf numFmtId="44" fontId="9" fillId="0" borderId="0" xfId="0" applyNumberFormat="1" applyFont="1"/>
    <xf numFmtId="44" fontId="9" fillId="0" borderId="3" xfId="0" applyNumberFormat="1" applyFont="1" applyBorder="1"/>
    <xf numFmtId="44" fontId="8" fillId="0" borderId="0" xfId="0" applyNumberFormat="1" applyFont="1"/>
    <xf numFmtId="0" fontId="9" fillId="0" borderId="0" xfId="0" applyFont="1" applyAlignment="1">
      <alignment horizontal="center"/>
    </xf>
    <xf numFmtId="0" fontId="9" fillId="0" borderId="0" xfId="0" applyFont="1" applyAlignment="1">
      <alignment horizontal="center" vertical="center"/>
    </xf>
    <xf numFmtId="2" fontId="9" fillId="0" borderId="4" xfId="0" applyNumberFormat="1" applyFont="1" applyFill="1" applyBorder="1" applyAlignment="1" applyProtection="1">
      <alignment horizontal="center" vertical="center"/>
    </xf>
    <xf numFmtId="2" fontId="9" fillId="0" borderId="0" xfId="0" applyNumberFormat="1" applyFont="1"/>
    <xf numFmtId="1" fontId="9" fillId="0" borderId="0" xfId="0" applyNumberFormat="1" applyFont="1"/>
    <xf numFmtId="1" fontId="9" fillId="0" borderId="3" xfId="0" applyNumberFormat="1" applyFont="1" applyBorder="1"/>
    <xf numFmtId="3" fontId="8" fillId="0" borderId="0" xfId="0" applyNumberFormat="1" applyFont="1" applyAlignment="1">
      <alignment horizontal="right"/>
    </xf>
    <xf numFmtId="44" fontId="9" fillId="0" borderId="0" xfId="0" applyNumberFormat="1" applyFont="1" applyBorder="1"/>
    <xf numFmtId="9" fontId="0" fillId="0" borderId="0" xfId="0" applyNumberFormat="1" applyAlignment="1">
      <alignment horizontal="right"/>
    </xf>
    <xf numFmtId="44" fontId="9" fillId="0" borderId="0" xfId="0" applyNumberFormat="1" applyFont="1" applyFill="1" applyBorder="1" applyAlignment="1" applyProtection="1"/>
    <xf numFmtId="44" fontId="9" fillId="0" borderId="0" xfId="0" applyNumberFormat="1" applyFont="1" applyFill="1" applyBorder="1" applyAlignment="1" applyProtection="1">
      <protection locked="0"/>
    </xf>
    <xf numFmtId="44" fontId="9" fillId="0" borderId="0" xfId="1" applyNumberFormat="1" applyFont="1" applyFill="1" applyBorder="1" applyAlignment="1" applyProtection="1"/>
    <xf numFmtId="44" fontId="9" fillId="0" borderId="0" xfId="1" applyNumberFormat="1" applyFont="1" applyFill="1" applyBorder="1" applyAlignment="1" applyProtection="1">
      <protection locked="0"/>
    </xf>
    <xf numFmtId="1" fontId="9" fillId="0" borderId="3" xfId="0" applyNumberFormat="1" applyFont="1" applyFill="1" applyBorder="1" applyAlignment="1" applyProtection="1"/>
    <xf numFmtId="49" fontId="9" fillId="0" borderId="3" xfId="0" applyNumberFormat="1" applyFont="1" applyFill="1" applyBorder="1" applyAlignment="1" applyProtection="1">
      <alignment horizontal="center" wrapText="1"/>
    </xf>
    <xf numFmtId="0" fontId="9" fillId="0" borderId="3" xfId="0" applyFont="1" applyBorder="1" applyAlignment="1">
      <alignment wrapText="1"/>
    </xf>
    <xf numFmtId="0" fontId="9" fillId="0" borderId="3" xfId="0" applyFont="1" applyBorder="1" applyAlignment="1">
      <alignment horizontal="center" wrapText="1"/>
    </xf>
    <xf numFmtId="167" fontId="9" fillId="0" borderId="0" xfId="3" applyNumberFormat="1" applyFont="1"/>
    <xf numFmtId="167" fontId="9" fillId="0" borderId="3" xfId="3" applyNumberFormat="1" applyFont="1" applyBorder="1"/>
    <xf numFmtId="9" fontId="9" fillId="0" borderId="0" xfId="0" applyNumberFormat="1" applyFont="1" applyFill="1" applyBorder="1" applyAlignment="1" applyProtection="1">
      <alignment horizontal="center" vertical="center"/>
      <protection locked="0"/>
    </xf>
    <xf numFmtId="0" fontId="9" fillId="0" borderId="0" xfId="0" applyFont="1" applyAlignment="1"/>
    <xf numFmtId="165" fontId="9" fillId="0" borderId="0" xfId="0" applyNumberFormat="1" applyFont="1"/>
    <xf numFmtId="165" fontId="9" fillId="0" borderId="3" xfId="0" applyNumberFormat="1" applyFont="1" applyBorder="1"/>
    <xf numFmtId="165" fontId="9" fillId="0" borderId="0" xfId="0" applyNumberFormat="1" applyFont="1" applyBorder="1"/>
    <xf numFmtId="165" fontId="8" fillId="0" borderId="0" xfId="0" applyNumberFormat="1" applyFont="1"/>
    <xf numFmtId="0" fontId="8" fillId="0" borderId="7" xfId="0" applyFont="1" applyBorder="1" applyAlignment="1">
      <alignment horizontal="center" vertical="center"/>
    </xf>
    <xf numFmtId="165" fontId="12" fillId="0" borderId="0" xfId="0" applyNumberFormat="1" applyFont="1" applyBorder="1"/>
    <xf numFmtId="5" fontId="9" fillId="0" borderId="0" xfId="0" applyNumberFormat="1" applyFont="1" applyFill="1" applyBorder="1" applyAlignment="1" applyProtection="1"/>
    <xf numFmtId="5" fontId="9" fillId="0" borderId="0" xfId="0" applyNumberFormat="1" applyFont="1" applyFill="1" applyBorder="1" applyAlignment="1" applyProtection="1">
      <alignment horizontal="right"/>
    </xf>
    <xf numFmtId="5" fontId="8" fillId="0" borderId="0" xfId="0" applyNumberFormat="1" applyFont="1" applyFill="1" applyBorder="1" applyAlignment="1" applyProtection="1"/>
    <xf numFmtId="2" fontId="2" fillId="0" borderId="0" xfId="0" applyNumberFormat="1" applyFont="1" applyFill="1" applyBorder="1" applyAlignment="1" applyProtection="1">
      <alignment horizontal="center" wrapText="1"/>
    </xf>
    <xf numFmtId="2" fontId="2" fillId="0" borderId="4" xfId="0" applyNumberFormat="1" applyFont="1" applyFill="1" applyBorder="1" applyAlignment="1" applyProtection="1">
      <alignment horizontal="center" wrapText="1"/>
    </xf>
    <xf numFmtId="2" fontId="9" fillId="0" borderId="3" xfId="0" applyNumberFormat="1" applyFont="1" applyFill="1" applyBorder="1" applyAlignment="1" applyProtection="1">
      <alignment horizontal="center"/>
    </xf>
    <xf numFmtId="0" fontId="1"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vertical="top" wrapText="1"/>
    </xf>
    <xf numFmtId="2" fontId="8" fillId="0" borderId="0" xfId="0" applyNumberFormat="1" applyFont="1" applyFill="1" applyBorder="1" applyAlignment="1" applyProtection="1">
      <alignment horizontal="center"/>
    </xf>
    <xf numFmtId="0" fontId="9" fillId="0" borderId="0" xfId="0" applyFont="1" applyAlignment="1">
      <alignment horizontal="center"/>
    </xf>
    <xf numFmtId="0" fontId="8" fillId="0" borderId="0" xfId="0" applyFont="1" applyAlignment="1">
      <alignment horizontal="center"/>
    </xf>
    <xf numFmtId="2" fontId="9" fillId="0" borderId="0" xfId="0" applyNumberFormat="1" applyFont="1" applyFill="1" applyBorder="1" applyAlignment="1" applyProtection="1">
      <alignment horizontal="center"/>
    </xf>
    <xf numFmtId="3" fontId="8" fillId="0" borderId="0" xfId="0" applyNumberFormat="1" applyFont="1" applyAlignment="1">
      <alignment horizontal="center"/>
    </xf>
    <xf numFmtId="0" fontId="13" fillId="0" borderId="0" xfId="0" applyFont="1" applyAlignment="1">
      <alignment horizontal="center" vertical="center"/>
    </xf>
    <xf numFmtId="0" fontId="14" fillId="0" borderId="0" xfId="0" applyFont="1" applyAlignment="1">
      <alignment horizontal="center"/>
    </xf>
    <xf numFmtId="0" fontId="20" fillId="0" borderId="8" xfId="0" applyFont="1" applyBorder="1" applyAlignment="1">
      <alignment horizontal="right" vertical="center" wrapText="1"/>
    </xf>
    <xf numFmtId="9" fontId="20" fillId="0" borderId="8" xfId="0" applyNumberFormat="1" applyFont="1" applyBorder="1" applyAlignment="1">
      <alignment horizontal="right" vertical="center" wrapText="1"/>
    </xf>
    <xf numFmtId="9" fontId="20" fillId="0" borderId="9" xfId="0" applyNumberFormat="1" applyFont="1" applyBorder="1" applyAlignment="1">
      <alignment horizontal="righ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2" fontId="8" fillId="0" borderId="0" xfId="0" applyNumberFormat="1" applyFont="1" applyFill="1" applyBorder="1" applyAlignment="1" applyProtection="1">
      <alignment horizontal="center" wrapText="1"/>
    </xf>
    <xf numFmtId="0" fontId="20" fillId="0" borderId="13" xfId="0" applyFont="1" applyBorder="1" applyAlignment="1">
      <alignment horizontal="right" vertical="center" wrapText="1"/>
    </xf>
    <xf numFmtId="0" fontId="20" fillId="0" borderId="14" xfId="0" applyFont="1" applyBorder="1" applyAlignment="1">
      <alignment horizontal="right" vertical="center" wrapText="1"/>
    </xf>
    <xf numFmtId="10" fontId="9" fillId="0" borderId="4" xfId="2" applyNumberFormat="1" applyFont="1" applyFill="1" applyBorder="1" applyAlignment="1" applyProtection="1"/>
    <xf numFmtId="184" fontId="9" fillId="0" borderId="0" xfId="2" applyNumberFormat="1" applyFont="1" applyFill="1" applyBorder="1" applyAlignment="1" applyProtection="1"/>
    <xf numFmtId="9" fontId="9" fillId="0" borderId="4" xfId="0" applyNumberFormat="1" applyFont="1" applyFill="1" applyBorder="1" applyAlignment="1" applyProtection="1">
      <protection locked="0"/>
    </xf>
    <xf numFmtId="9" fontId="8" fillId="0" borderId="0" xfId="0" applyNumberFormat="1" applyFont="1" applyFill="1" applyBorder="1" applyAlignment="1" applyProtection="1">
      <protection locked="0"/>
    </xf>
    <xf numFmtId="2" fontId="8" fillId="0" borderId="0" xfId="0" applyNumberFormat="1" applyFont="1" applyFill="1" applyBorder="1" applyAlignment="1" applyProtection="1">
      <alignment horizontal="center" vertical="center"/>
    </xf>
    <xf numFmtId="44" fontId="9" fillId="0" borderId="3" xfId="0" applyNumberFormat="1" applyFont="1" applyFill="1" applyBorder="1" applyAlignment="1" applyProtection="1"/>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15" xfId="0" applyFont="1" applyFill="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vertical="center"/>
    </xf>
    <xf numFmtId="0" fontId="9" fillId="3" borderId="22" xfId="0" applyFont="1" applyFill="1" applyBorder="1" applyAlignment="1">
      <alignment horizontal="center" vertical="center"/>
    </xf>
    <xf numFmtId="2" fontId="9" fillId="0" borderId="21" xfId="0" applyNumberFormat="1" applyFont="1" applyFill="1" applyBorder="1" applyAlignment="1" applyProtection="1">
      <protection locked="0"/>
    </xf>
    <xf numFmtId="2" fontId="9" fillId="0" borderId="24" xfId="0" applyNumberFormat="1" applyFont="1" applyFill="1" applyBorder="1" applyAlignment="1" applyProtection="1">
      <protection locked="0"/>
    </xf>
    <xf numFmtId="0" fontId="9" fillId="0" borderId="0" xfId="0" applyFont="1" applyAlignment="1">
      <alignment horizontal="right"/>
    </xf>
    <xf numFmtId="167" fontId="0" fillId="0" borderId="0" xfId="0" applyNumberFormat="1"/>
    <xf numFmtId="2" fontId="9" fillId="0" borderId="28" xfId="0" applyNumberFormat="1" applyFont="1" applyFill="1" applyBorder="1" applyAlignment="1" applyProtection="1">
      <protection locked="0"/>
    </xf>
    <xf numFmtId="2" fontId="9" fillId="0" borderId="27" xfId="0" applyNumberFormat="1" applyFont="1" applyFill="1" applyBorder="1" applyAlignment="1" applyProtection="1">
      <protection locked="0"/>
    </xf>
    <xf numFmtId="167" fontId="9" fillId="0" borderId="17" xfId="3" applyNumberFormat="1" applyFont="1" applyBorder="1" applyProtection="1">
      <protection locked="0"/>
    </xf>
    <xf numFmtId="167" fontId="9" fillId="3" borderId="0" xfId="3" applyNumberFormat="1" applyFont="1" applyFill="1" applyBorder="1" applyProtection="1">
      <protection locked="0"/>
    </xf>
    <xf numFmtId="167" fontId="9" fillId="0" borderId="0" xfId="3" applyNumberFormat="1" applyFont="1" applyBorder="1" applyProtection="1">
      <protection locked="0"/>
    </xf>
    <xf numFmtId="167" fontId="9" fillId="3" borderId="23" xfId="3" applyNumberFormat="1" applyFont="1" applyFill="1" applyBorder="1" applyProtection="1">
      <protection locked="0"/>
    </xf>
    <xf numFmtId="167" fontId="9" fillId="0" borderId="25" xfId="3" applyNumberFormat="1" applyFont="1" applyBorder="1" applyProtection="1">
      <protection locked="0"/>
    </xf>
    <xf numFmtId="167" fontId="9" fillId="3" borderId="3" xfId="3" applyNumberFormat="1" applyFont="1" applyFill="1" applyBorder="1" applyProtection="1">
      <protection locked="0"/>
    </xf>
    <xf numFmtId="167" fontId="9" fillId="0" borderId="3" xfId="3" applyNumberFormat="1" applyFont="1" applyBorder="1" applyProtection="1">
      <protection locked="0"/>
    </xf>
    <xf numFmtId="167" fontId="9" fillId="3" borderId="26" xfId="3" applyNumberFormat="1" applyFont="1" applyFill="1" applyBorder="1" applyProtection="1">
      <protection locked="0"/>
    </xf>
    <xf numFmtId="9" fontId="9" fillId="0" borderId="28" xfId="0" applyNumberFormat="1" applyFont="1" applyFill="1" applyBorder="1" applyAlignment="1" applyProtection="1"/>
    <xf numFmtId="9" fontId="9" fillId="0" borderId="27" xfId="0" applyNumberFormat="1" applyFont="1" applyFill="1" applyBorder="1" applyAlignment="1" applyProtection="1"/>
    <xf numFmtId="3" fontId="9" fillId="0" borderId="3" xfId="0" applyNumberFormat="1" applyFont="1" applyBorder="1" applyProtection="1">
      <protection locked="0"/>
    </xf>
    <xf numFmtId="3" fontId="10" fillId="0" borderId="3" xfId="0" applyNumberFormat="1" applyFont="1" applyBorder="1" applyProtection="1">
      <protection locked="0"/>
    </xf>
    <xf numFmtId="3" fontId="10" fillId="0" borderId="0" xfId="0" applyNumberFormat="1" applyFont="1" applyProtection="1">
      <protection locked="0"/>
    </xf>
    <xf numFmtId="167" fontId="9" fillId="0" borderId="8" xfId="3" applyNumberFormat="1" applyFont="1" applyBorder="1"/>
    <xf numFmtId="167" fontId="9" fillId="4" borderId="8" xfId="3" applyNumberFormat="1" applyFont="1" applyFill="1" applyBorder="1"/>
    <xf numFmtId="3" fontId="9" fillId="0" borderId="0" xfId="0" applyNumberFormat="1" applyFont="1" applyBorder="1" applyAlignment="1">
      <alignment horizontal="center" vertical="center"/>
    </xf>
    <xf numFmtId="2" fontId="8" fillId="2" borderId="8" xfId="0" applyNumberFormat="1" applyFont="1" applyFill="1" applyBorder="1" applyAlignment="1" applyProtection="1">
      <alignment horizontal="right"/>
      <protection locked="0"/>
    </xf>
    <xf numFmtId="2" fontId="21" fillId="2" borderId="8" xfId="0" applyNumberFormat="1" applyFont="1" applyFill="1" applyBorder="1" applyAlignment="1" applyProtection="1"/>
    <xf numFmtId="2" fontId="8" fillId="2" borderId="8" xfId="0" applyNumberFormat="1" applyFont="1" applyFill="1" applyBorder="1" applyAlignment="1" applyProtection="1">
      <protection locked="0"/>
    </xf>
    <xf numFmtId="2" fontId="8" fillId="4" borderId="0" xfId="0" applyNumberFormat="1" applyFont="1" applyFill="1" applyBorder="1" applyAlignment="1" applyProtection="1">
      <alignment horizontal="center" vertical="center" wrapText="1"/>
    </xf>
    <xf numFmtId="2" fontId="21" fillId="4" borderId="0" xfId="0" applyNumberFormat="1" applyFont="1" applyFill="1" applyBorder="1" applyAlignment="1" applyProtection="1">
      <alignment horizontal="center" vertical="center"/>
    </xf>
    <xf numFmtId="0" fontId="9" fillId="0" borderId="29" xfId="0" applyFont="1" applyBorder="1" applyAlignment="1">
      <alignment horizontal="center"/>
    </xf>
    <xf numFmtId="0" fontId="0" fillId="0" borderId="30" xfId="0" applyBorder="1" applyAlignment="1">
      <alignment horizontal="center"/>
    </xf>
    <xf numFmtId="2" fontId="13" fillId="0" borderId="0" xfId="0" applyNumberFormat="1" applyFont="1"/>
    <xf numFmtId="0" fontId="9" fillId="0" borderId="0" xfId="0" applyFont="1" applyAlignment="1">
      <alignment horizontal="center" vertical="center"/>
    </xf>
    <xf numFmtId="187" fontId="8" fillId="0" borderId="0" xfId="0" applyNumberFormat="1" applyFont="1" applyAlignment="1">
      <alignment horizontal="center"/>
    </xf>
    <xf numFmtId="2" fontId="8" fillId="0" borderId="0" xfId="0" applyNumberFormat="1" applyFont="1"/>
    <xf numFmtId="2" fontId="8" fillId="0" borderId="0" xfId="0" applyNumberFormat="1" applyFont="1" applyFill="1" applyBorder="1" applyAlignment="1" applyProtection="1">
      <alignment horizontal="right"/>
    </xf>
    <xf numFmtId="9" fontId="9" fillId="0" borderId="0" xfId="2" applyNumberFormat="1" applyFont="1" applyFill="1" applyBorder="1" applyAlignment="1" applyProtection="1"/>
    <xf numFmtId="3" fontId="8" fillId="0" borderId="0" xfId="0" applyNumberFormat="1" applyFont="1" applyBorder="1"/>
    <xf numFmtId="3" fontId="9" fillId="0" borderId="0" xfId="0" applyNumberFormat="1" applyFont="1" applyBorder="1"/>
    <xf numFmtId="165" fontId="8" fillId="0" borderId="0" xfId="0" applyNumberFormat="1" applyFont="1" applyBorder="1"/>
    <xf numFmtId="2" fontId="3" fillId="0" borderId="3" xfId="0" applyNumberFormat="1" applyFont="1" applyFill="1" applyBorder="1" applyAlignment="1" applyProtection="1"/>
    <xf numFmtId="44" fontId="2" fillId="0" borderId="0" xfId="0" applyNumberFormat="1" applyFont="1" applyBorder="1"/>
  </cellXfs>
  <cellStyles count="4">
    <cellStyle name="Comma" xfId="3" builtinId="3"/>
    <cellStyle name="Currency" xfId="1" builtinId="4"/>
    <cellStyle name="Normal" xfId="0" builtinId="0"/>
    <cellStyle name="Percent" xfId="2" builtinId="5"/>
  </cellStyles>
  <dxfs count="0"/>
  <tableStyles count="2" defaultTableStyle="TableStyleMedium2" defaultPivotStyle="PivotStyleLight16">
    <tableStyle name="Table Style 1" pivot="0" count="0"/>
    <tableStyle name="Table Style 2"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100"/>
            </a:pPr>
            <a:r>
              <a:rPr lang="en-US" sz="1100"/>
              <a:t>Chicken Cuties Price  ($) vs. Supply (Q)</a:t>
            </a:r>
          </a:p>
        </c:rich>
      </c:tx>
      <c:layout/>
      <c:overlay val="0"/>
    </c:title>
    <c:autoTitleDeleted val="0"/>
    <c:plotArea>
      <c:layout/>
      <c:lineChart>
        <c:grouping val="standard"/>
        <c:varyColors val="0"/>
        <c:ser>
          <c:idx val="0"/>
          <c:order val="0"/>
          <c:tx>
            <c:strRef>
              <c:f>'2.1 Supply &amp; Demand'!$E$2</c:f>
              <c:strCache>
                <c:ptCount val="1"/>
                <c:pt idx="0">
                  <c:v>Supply (Q)</c:v>
                </c:pt>
              </c:strCache>
            </c:strRef>
          </c:tx>
          <c:marker>
            <c:symbol val="none"/>
          </c:marker>
          <c:cat>
            <c:numRef>
              <c:f>'2.1 Supply &amp; Demand'!$E$3:$E$8</c:f>
              <c:numCache>
                <c:formatCode>General</c:formatCode>
                <c:ptCount val="6"/>
                <c:pt idx="0">
                  <c:v>500</c:v>
                </c:pt>
                <c:pt idx="1">
                  <c:v>650</c:v>
                </c:pt>
                <c:pt idx="2">
                  <c:v>800</c:v>
                </c:pt>
                <c:pt idx="3">
                  <c:v>1000</c:v>
                </c:pt>
                <c:pt idx="4">
                  <c:v>1400</c:v>
                </c:pt>
                <c:pt idx="5">
                  <c:v>1500</c:v>
                </c:pt>
              </c:numCache>
            </c:numRef>
          </c:cat>
          <c:val>
            <c:numRef>
              <c:f>'2.1 Supply &amp; Demand'!$D$3:$D$8</c:f>
              <c:numCache>
                <c:formatCode>"$"#,##0.00_);[Red]\("$"#,##0.00\)</c:formatCode>
                <c:ptCount val="6"/>
                <c:pt idx="0">
                  <c:v>0.75</c:v>
                </c:pt>
                <c:pt idx="1">
                  <c:v>1</c:v>
                </c:pt>
                <c:pt idx="2">
                  <c:v>1.25</c:v>
                </c:pt>
                <c:pt idx="3">
                  <c:v>1.5</c:v>
                </c:pt>
                <c:pt idx="4">
                  <c:v>1.75</c:v>
                </c:pt>
                <c:pt idx="5">
                  <c:v>2</c:v>
                </c:pt>
              </c:numCache>
            </c:numRef>
          </c:val>
          <c:smooth val="0"/>
        </c:ser>
        <c:dLbls>
          <c:showLegendKey val="0"/>
          <c:showVal val="0"/>
          <c:showCatName val="0"/>
          <c:showSerName val="0"/>
          <c:showPercent val="0"/>
          <c:showBubbleSize val="0"/>
        </c:dLbls>
        <c:marker val="1"/>
        <c:smooth val="0"/>
        <c:axId val="248784384"/>
        <c:axId val="248785920"/>
      </c:lineChart>
      <c:catAx>
        <c:axId val="248784384"/>
        <c:scaling>
          <c:orientation val="minMax"/>
        </c:scaling>
        <c:delete val="0"/>
        <c:axPos val="b"/>
        <c:numFmt formatCode="#,##0" sourceLinked="0"/>
        <c:majorTickMark val="cross"/>
        <c:minorTickMark val="cross"/>
        <c:tickLblPos val="nextTo"/>
        <c:crossAx val="248785920"/>
        <c:crosses val="autoZero"/>
        <c:auto val="1"/>
        <c:lblAlgn val="ctr"/>
        <c:lblOffset val="100"/>
        <c:noMultiLvlLbl val="0"/>
      </c:catAx>
      <c:valAx>
        <c:axId val="248785920"/>
        <c:scaling>
          <c:orientation val="minMax"/>
          <c:max val="2.25"/>
          <c:min val="0.5"/>
        </c:scaling>
        <c:delete val="0"/>
        <c:axPos val="l"/>
        <c:majorGridlines/>
        <c:numFmt formatCode="&quot;$&quot;#,##0.00_);[Red]\(&quot;$&quot;#,##0.00\)" sourceLinked="1"/>
        <c:majorTickMark val="out"/>
        <c:minorTickMark val="none"/>
        <c:tickLblPos val="nextTo"/>
        <c:crossAx val="248784384"/>
        <c:crosses val="autoZero"/>
        <c:crossBetween val="midCat"/>
        <c:majorUnit val="0.25"/>
        <c:minorUnit val="0.25"/>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Chicken</a:t>
            </a:r>
            <a:r>
              <a:rPr lang="en-US" sz="1100" baseline="0"/>
              <a:t> Cuties Supply (Q) and Demand (Q) </a:t>
            </a:r>
            <a:endParaRPr lang="en-US" sz="1100"/>
          </a:p>
        </c:rich>
      </c:tx>
      <c:layout/>
      <c:overlay val="0"/>
    </c:title>
    <c:autoTitleDeleted val="0"/>
    <c:plotArea>
      <c:layout>
        <c:manualLayout>
          <c:layoutTarget val="inner"/>
          <c:xMode val="edge"/>
          <c:yMode val="edge"/>
          <c:x val="9.2076708777386607E-2"/>
          <c:y val="0.2019763178457655"/>
          <c:w val="0.86645894508236709"/>
          <c:h val="0.72320891186311631"/>
        </c:manualLayout>
      </c:layout>
      <c:scatterChart>
        <c:scatterStyle val="lineMarker"/>
        <c:varyColors val="0"/>
        <c:ser>
          <c:idx val="0"/>
          <c:order val="0"/>
          <c:tx>
            <c:v>Demand Curve</c:v>
          </c:tx>
          <c:marker>
            <c:symbol val="none"/>
          </c:marker>
          <c:dLbls>
            <c:delete val="1"/>
          </c:dLbls>
          <c:xVal>
            <c:numRef>
              <c:f>'2.1 Supply &amp; Demand'!$H$3:$H$8</c:f>
              <c:numCache>
                <c:formatCode>General</c:formatCode>
                <c:ptCount val="6"/>
                <c:pt idx="0">
                  <c:v>1000</c:v>
                </c:pt>
                <c:pt idx="1">
                  <c:v>900</c:v>
                </c:pt>
                <c:pt idx="2">
                  <c:v>800</c:v>
                </c:pt>
                <c:pt idx="3">
                  <c:v>700</c:v>
                </c:pt>
                <c:pt idx="4">
                  <c:v>600</c:v>
                </c:pt>
                <c:pt idx="5">
                  <c:v>500</c:v>
                </c:pt>
              </c:numCache>
            </c:numRef>
          </c:xVal>
          <c:yVal>
            <c:numRef>
              <c:f>'2.1 Supply &amp; Demand'!$G$3:$G$8</c:f>
              <c:numCache>
                <c:formatCode>"$"#,##0.00_);[Red]\("$"#,##0.00\)</c:formatCode>
                <c:ptCount val="6"/>
                <c:pt idx="0">
                  <c:v>0.75</c:v>
                </c:pt>
                <c:pt idx="1">
                  <c:v>1</c:v>
                </c:pt>
                <c:pt idx="2">
                  <c:v>1.25</c:v>
                </c:pt>
                <c:pt idx="3">
                  <c:v>1.5</c:v>
                </c:pt>
                <c:pt idx="4">
                  <c:v>1.75</c:v>
                </c:pt>
                <c:pt idx="5">
                  <c:v>2</c:v>
                </c:pt>
              </c:numCache>
            </c:numRef>
          </c:yVal>
          <c:smooth val="0"/>
        </c:ser>
        <c:ser>
          <c:idx val="1"/>
          <c:order val="1"/>
          <c:tx>
            <c:v>Supply Curve</c:v>
          </c:tx>
          <c:marker>
            <c:symbol val="none"/>
          </c:marker>
          <c:dLbls>
            <c:delete val="1"/>
          </c:dLbls>
          <c:xVal>
            <c:numRef>
              <c:f>'2.1 Supply &amp; Demand'!$I$3:$I$8</c:f>
              <c:numCache>
                <c:formatCode>General</c:formatCode>
                <c:ptCount val="6"/>
                <c:pt idx="0">
                  <c:v>500</c:v>
                </c:pt>
                <c:pt idx="1">
                  <c:v>650</c:v>
                </c:pt>
                <c:pt idx="2">
                  <c:v>800</c:v>
                </c:pt>
                <c:pt idx="3">
                  <c:v>1000</c:v>
                </c:pt>
                <c:pt idx="4">
                  <c:v>1400</c:v>
                </c:pt>
                <c:pt idx="5">
                  <c:v>1500</c:v>
                </c:pt>
              </c:numCache>
            </c:numRef>
          </c:xVal>
          <c:yVal>
            <c:numRef>
              <c:f>'2.1 Supply &amp; Demand'!$G$3:$G$8</c:f>
              <c:numCache>
                <c:formatCode>"$"#,##0.00_);[Red]\("$"#,##0.00\)</c:formatCode>
                <c:ptCount val="6"/>
                <c:pt idx="0">
                  <c:v>0.75</c:v>
                </c:pt>
                <c:pt idx="1">
                  <c:v>1</c:v>
                </c:pt>
                <c:pt idx="2">
                  <c:v>1.25</c:v>
                </c:pt>
                <c:pt idx="3">
                  <c:v>1.5</c:v>
                </c:pt>
                <c:pt idx="4">
                  <c:v>1.75</c:v>
                </c:pt>
                <c:pt idx="5">
                  <c:v>2</c:v>
                </c:pt>
              </c:numCache>
            </c:numRef>
          </c:yVal>
          <c:smooth val="0"/>
        </c:ser>
        <c:dLbls>
          <c:showLegendKey val="0"/>
          <c:showVal val="1"/>
          <c:showCatName val="1"/>
          <c:showSerName val="0"/>
          <c:showPercent val="0"/>
          <c:showBubbleSize val="0"/>
        </c:dLbls>
        <c:axId val="248823808"/>
        <c:axId val="248825344"/>
      </c:scatterChart>
      <c:valAx>
        <c:axId val="248823808"/>
        <c:scaling>
          <c:orientation val="minMax"/>
          <c:min val="500"/>
        </c:scaling>
        <c:delete val="0"/>
        <c:axPos val="b"/>
        <c:numFmt formatCode="General" sourceLinked="1"/>
        <c:majorTickMark val="cross"/>
        <c:minorTickMark val="cross"/>
        <c:tickLblPos val="nextTo"/>
        <c:crossAx val="248825344"/>
        <c:crosses val="autoZero"/>
        <c:crossBetween val="midCat"/>
        <c:majorUnit val="100"/>
        <c:minorUnit val="100"/>
      </c:valAx>
      <c:valAx>
        <c:axId val="248825344"/>
        <c:scaling>
          <c:orientation val="minMax"/>
          <c:min val="0.5"/>
        </c:scaling>
        <c:delete val="0"/>
        <c:axPos val="l"/>
        <c:majorGridlines/>
        <c:numFmt formatCode="&quot;$&quot;#,##0.00_);[Red]\(&quot;$&quot;#,##0.00\)" sourceLinked="1"/>
        <c:majorTickMark val="none"/>
        <c:minorTickMark val="none"/>
        <c:tickLblPos val="nextTo"/>
        <c:crossAx val="248823808"/>
        <c:crosses val="autoZero"/>
        <c:crossBetween val="midCat"/>
        <c:majorUnit val="0.25"/>
      </c:valAx>
    </c:plotArea>
    <c:legend>
      <c:legendPos val="r"/>
      <c:layout>
        <c:manualLayout>
          <c:xMode val="edge"/>
          <c:yMode val="edge"/>
          <c:x val="0.14369484144355102"/>
          <c:y val="8.2028410570816057E-2"/>
          <c:w val="0.68786052567060108"/>
          <c:h val="7.4126879178270655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Chicken Cuties Price ($) vs. Demand (Q)</a:t>
            </a:r>
          </a:p>
        </c:rich>
      </c:tx>
      <c:layout/>
      <c:overlay val="0"/>
    </c:title>
    <c:autoTitleDeleted val="0"/>
    <c:plotArea>
      <c:layout/>
      <c:scatterChart>
        <c:scatterStyle val="lineMarker"/>
        <c:varyColors val="0"/>
        <c:ser>
          <c:idx val="0"/>
          <c:order val="0"/>
          <c:tx>
            <c:v>Demand (Q)</c:v>
          </c:tx>
          <c:marker>
            <c:symbol val="none"/>
          </c:marker>
          <c:xVal>
            <c:numRef>
              <c:f>'2.1 Supply &amp; Demand'!$A$3:$A$8</c:f>
              <c:numCache>
                <c:formatCode>"$"#,##0.00_);[Red]\("$"#,##0.00\)</c:formatCode>
                <c:ptCount val="6"/>
                <c:pt idx="0">
                  <c:v>0.75</c:v>
                </c:pt>
                <c:pt idx="1">
                  <c:v>1</c:v>
                </c:pt>
                <c:pt idx="2">
                  <c:v>1.25</c:v>
                </c:pt>
                <c:pt idx="3">
                  <c:v>1.5</c:v>
                </c:pt>
                <c:pt idx="4">
                  <c:v>1.75</c:v>
                </c:pt>
                <c:pt idx="5">
                  <c:v>2</c:v>
                </c:pt>
              </c:numCache>
            </c:numRef>
          </c:xVal>
          <c:yVal>
            <c:numRef>
              <c:f>'2.1 Supply &amp; Demand'!$B$3:$B$8</c:f>
              <c:numCache>
                <c:formatCode>General</c:formatCode>
                <c:ptCount val="6"/>
                <c:pt idx="0">
                  <c:v>1000</c:v>
                </c:pt>
                <c:pt idx="1">
                  <c:v>900</c:v>
                </c:pt>
                <c:pt idx="2">
                  <c:v>800</c:v>
                </c:pt>
                <c:pt idx="3">
                  <c:v>700</c:v>
                </c:pt>
                <c:pt idx="4">
                  <c:v>600</c:v>
                </c:pt>
                <c:pt idx="5">
                  <c:v>500</c:v>
                </c:pt>
              </c:numCache>
            </c:numRef>
          </c:yVal>
          <c:smooth val="0"/>
        </c:ser>
        <c:dLbls>
          <c:showLegendKey val="0"/>
          <c:showVal val="0"/>
          <c:showCatName val="0"/>
          <c:showSerName val="0"/>
          <c:showPercent val="0"/>
          <c:showBubbleSize val="0"/>
        </c:dLbls>
        <c:axId val="250746368"/>
        <c:axId val="250747904"/>
      </c:scatterChart>
      <c:valAx>
        <c:axId val="250746368"/>
        <c:scaling>
          <c:orientation val="minMax"/>
          <c:max val="2.25"/>
          <c:min val="0.75000000000000011"/>
        </c:scaling>
        <c:delete val="0"/>
        <c:axPos val="b"/>
        <c:numFmt formatCode="&quot;$&quot;#,##0.00_);[Red]\(&quot;$&quot;#,##0.00\)" sourceLinked="1"/>
        <c:majorTickMark val="out"/>
        <c:minorTickMark val="none"/>
        <c:tickLblPos val="nextTo"/>
        <c:crossAx val="250747904"/>
        <c:crosses val="autoZero"/>
        <c:crossBetween val="midCat"/>
        <c:majorUnit val="0.25"/>
        <c:minorUnit val="0.25"/>
      </c:valAx>
      <c:valAx>
        <c:axId val="250747904"/>
        <c:scaling>
          <c:orientation val="minMax"/>
          <c:min val="400"/>
        </c:scaling>
        <c:delete val="0"/>
        <c:axPos val="l"/>
        <c:majorGridlines/>
        <c:numFmt formatCode="General" sourceLinked="1"/>
        <c:majorTickMark val="out"/>
        <c:minorTickMark val="none"/>
        <c:tickLblPos val="nextTo"/>
        <c:crossAx val="250746368"/>
        <c:crosses val="autoZero"/>
        <c:crossBetween val="midCat"/>
        <c:majorUnit val="100"/>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100"/>
            </a:pPr>
            <a:r>
              <a:rPr lang="en-US" sz="1100"/>
              <a:t>Bison Bites Price  ($) vs. Supply (Q)</a:t>
            </a:r>
          </a:p>
        </c:rich>
      </c:tx>
      <c:layout/>
      <c:overlay val="0"/>
    </c:title>
    <c:autoTitleDeleted val="0"/>
    <c:plotArea>
      <c:layout/>
      <c:lineChart>
        <c:grouping val="standard"/>
        <c:varyColors val="0"/>
        <c:ser>
          <c:idx val="0"/>
          <c:order val="0"/>
          <c:tx>
            <c:strRef>
              <c:f>'2.1 Supply &amp; Demand'!$D$12</c:f>
              <c:strCache>
                <c:ptCount val="1"/>
                <c:pt idx="0">
                  <c:v>Price ($)</c:v>
                </c:pt>
              </c:strCache>
            </c:strRef>
          </c:tx>
          <c:marker>
            <c:symbol val="none"/>
          </c:marker>
          <c:cat>
            <c:numRef>
              <c:f>'2.1 Supply &amp; Demand'!$E$13:$E$18</c:f>
              <c:numCache>
                <c:formatCode>General</c:formatCode>
                <c:ptCount val="6"/>
                <c:pt idx="0">
                  <c:v>500</c:v>
                </c:pt>
                <c:pt idx="1">
                  <c:v>600</c:v>
                </c:pt>
                <c:pt idx="2">
                  <c:v>700</c:v>
                </c:pt>
                <c:pt idx="3">
                  <c:v>900</c:v>
                </c:pt>
                <c:pt idx="4">
                  <c:v>1000</c:v>
                </c:pt>
                <c:pt idx="5">
                  <c:v>1400</c:v>
                </c:pt>
              </c:numCache>
            </c:numRef>
          </c:cat>
          <c:val>
            <c:numRef>
              <c:f>'2.1 Supply &amp; Demand'!$D$13:$D$18</c:f>
              <c:numCache>
                <c:formatCode>"$"#,##0.00_);[Red]\("$"#,##0.00\)</c:formatCode>
                <c:ptCount val="6"/>
                <c:pt idx="0">
                  <c:v>1</c:v>
                </c:pt>
                <c:pt idx="1">
                  <c:v>1.25</c:v>
                </c:pt>
                <c:pt idx="2">
                  <c:v>1.5</c:v>
                </c:pt>
                <c:pt idx="3">
                  <c:v>1.75</c:v>
                </c:pt>
                <c:pt idx="4">
                  <c:v>2</c:v>
                </c:pt>
                <c:pt idx="5">
                  <c:v>2.25</c:v>
                </c:pt>
              </c:numCache>
            </c:numRef>
          </c:val>
          <c:smooth val="0"/>
        </c:ser>
        <c:ser>
          <c:idx val="1"/>
          <c:order val="1"/>
          <c:tx>
            <c:strRef>
              <c:f>'2.1 Supply &amp; Demand'!$E$12</c:f>
              <c:strCache>
                <c:ptCount val="1"/>
                <c:pt idx="0">
                  <c:v>Supply (Q)</c:v>
                </c:pt>
              </c:strCache>
            </c:strRef>
          </c:tx>
          <c:marker>
            <c:symbol val="none"/>
          </c:marker>
          <c:cat>
            <c:numRef>
              <c:f>'2.1 Supply &amp; Demand'!$E$13:$E$18</c:f>
              <c:numCache>
                <c:formatCode>General</c:formatCode>
                <c:ptCount val="6"/>
                <c:pt idx="0">
                  <c:v>500</c:v>
                </c:pt>
                <c:pt idx="1">
                  <c:v>600</c:v>
                </c:pt>
                <c:pt idx="2">
                  <c:v>700</c:v>
                </c:pt>
                <c:pt idx="3">
                  <c:v>900</c:v>
                </c:pt>
                <c:pt idx="4">
                  <c:v>1000</c:v>
                </c:pt>
                <c:pt idx="5">
                  <c:v>1400</c:v>
                </c:pt>
              </c:numCache>
            </c:numRef>
          </c:cat>
          <c:val>
            <c:numRef>
              <c:f>'2.1 Supply &amp; Demand'!$E$13:$E$18</c:f>
              <c:numCache>
                <c:formatCode>General</c:formatCode>
                <c:ptCount val="6"/>
                <c:pt idx="0">
                  <c:v>500</c:v>
                </c:pt>
                <c:pt idx="1">
                  <c:v>600</c:v>
                </c:pt>
                <c:pt idx="2">
                  <c:v>700</c:v>
                </c:pt>
                <c:pt idx="3">
                  <c:v>900</c:v>
                </c:pt>
                <c:pt idx="4">
                  <c:v>1000</c:v>
                </c:pt>
                <c:pt idx="5">
                  <c:v>1400</c:v>
                </c:pt>
              </c:numCache>
            </c:numRef>
          </c:val>
          <c:smooth val="0"/>
        </c:ser>
        <c:dLbls>
          <c:showLegendKey val="0"/>
          <c:showVal val="0"/>
          <c:showCatName val="0"/>
          <c:showSerName val="0"/>
          <c:showPercent val="0"/>
          <c:showBubbleSize val="0"/>
        </c:dLbls>
        <c:marker val="1"/>
        <c:smooth val="0"/>
        <c:axId val="250764672"/>
        <c:axId val="250795136"/>
      </c:lineChart>
      <c:catAx>
        <c:axId val="250764672"/>
        <c:scaling>
          <c:orientation val="minMax"/>
        </c:scaling>
        <c:delete val="0"/>
        <c:axPos val="b"/>
        <c:numFmt formatCode="#,##0" sourceLinked="0"/>
        <c:majorTickMark val="cross"/>
        <c:minorTickMark val="cross"/>
        <c:tickLblPos val="nextTo"/>
        <c:crossAx val="250795136"/>
        <c:crosses val="autoZero"/>
        <c:auto val="1"/>
        <c:lblAlgn val="ctr"/>
        <c:lblOffset val="100"/>
        <c:noMultiLvlLbl val="0"/>
      </c:catAx>
      <c:valAx>
        <c:axId val="250795136"/>
        <c:scaling>
          <c:orientation val="minMax"/>
          <c:max val="2.25"/>
          <c:min val="0.5"/>
        </c:scaling>
        <c:delete val="0"/>
        <c:axPos val="l"/>
        <c:majorGridlines/>
        <c:numFmt formatCode="&quot;$&quot;#,##0.00_);[Red]\(&quot;$&quot;#,##0.00\)" sourceLinked="1"/>
        <c:majorTickMark val="out"/>
        <c:minorTickMark val="none"/>
        <c:tickLblPos val="nextTo"/>
        <c:crossAx val="250764672"/>
        <c:crosses val="autoZero"/>
        <c:crossBetween val="midCat"/>
        <c:majorUnit val="0.25"/>
        <c:minorUnit val="0.25"/>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Bison Bites Price ($) vs. Demand (Q)</a:t>
            </a:r>
          </a:p>
        </c:rich>
      </c:tx>
      <c:layout/>
      <c:overlay val="0"/>
    </c:title>
    <c:autoTitleDeleted val="0"/>
    <c:plotArea>
      <c:layout/>
      <c:scatterChart>
        <c:scatterStyle val="lineMarker"/>
        <c:varyColors val="0"/>
        <c:ser>
          <c:idx val="0"/>
          <c:order val="0"/>
          <c:tx>
            <c:strRef>
              <c:f>'2.1 Supply &amp; Demand'!$B$12</c:f>
              <c:strCache>
                <c:ptCount val="1"/>
                <c:pt idx="0">
                  <c:v>Demand (Q)</c:v>
                </c:pt>
              </c:strCache>
            </c:strRef>
          </c:tx>
          <c:marker>
            <c:symbol val="none"/>
          </c:marker>
          <c:xVal>
            <c:numRef>
              <c:f>'2.1 Supply &amp; Demand'!$A$13:$A$18</c:f>
              <c:numCache>
                <c:formatCode>"$"#,##0.00_);[Red]\("$"#,##0.00\)</c:formatCode>
                <c:ptCount val="6"/>
                <c:pt idx="0">
                  <c:v>1</c:v>
                </c:pt>
                <c:pt idx="1">
                  <c:v>1.25</c:v>
                </c:pt>
                <c:pt idx="2">
                  <c:v>1.5</c:v>
                </c:pt>
                <c:pt idx="3">
                  <c:v>1.75</c:v>
                </c:pt>
                <c:pt idx="4">
                  <c:v>2</c:v>
                </c:pt>
                <c:pt idx="5">
                  <c:v>2.25</c:v>
                </c:pt>
              </c:numCache>
            </c:numRef>
          </c:xVal>
          <c:yVal>
            <c:numRef>
              <c:f>'2.1 Supply &amp; Demand'!$B$13:$B$18</c:f>
              <c:numCache>
                <c:formatCode>General</c:formatCode>
                <c:ptCount val="6"/>
                <c:pt idx="0">
                  <c:v>1200</c:v>
                </c:pt>
                <c:pt idx="1">
                  <c:v>1100</c:v>
                </c:pt>
                <c:pt idx="2">
                  <c:v>900</c:v>
                </c:pt>
                <c:pt idx="3">
                  <c:v>800</c:v>
                </c:pt>
                <c:pt idx="4">
                  <c:v>700</c:v>
                </c:pt>
                <c:pt idx="5">
                  <c:v>400</c:v>
                </c:pt>
              </c:numCache>
            </c:numRef>
          </c:yVal>
          <c:smooth val="0"/>
        </c:ser>
        <c:dLbls>
          <c:showLegendKey val="0"/>
          <c:showVal val="0"/>
          <c:showCatName val="0"/>
          <c:showSerName val="0"/>
          <c:showPercent val="0"/>
          <c:showBubbleSize val="0"/>
        </c:dLbls>
        <c:axId val="250483456"/>
        <c:axId val="250484992"/>
      </c:scatterChart>
      <c:valAx>
        <c:axId val="250483456"/>
        <c:scaling>
          <c:orientation val="minMax"/>
          <c:max val="2.25"/>
          <c:min val="0.75000000000000011"/>
        </c:scaling>
        <c:delete val="0"/>
        <c:axPos val="b"/>
        <c:numFmt formatCode="&quot;$&quot;#,##0.00_);[Red]\(&quot;$&quot;#,##0.00\)" sourceLinked="1"/>
        <c:majorTickMark val="out"/>
        <c:minorTickMark val="none"/>
        <c:tickLblPos val="nextTo"/>
        <c:crossAx val="250484992"/>
        <c:crosses val="autoZero"/>
        <c:crossBetween val="midCat"/>
        <c:majorUnit val="0.25"/>
        <c:minorUnit val="0.25"/>
      </c:valAx>
      <c:valAx>
        <c:axId val="250484992"/>
        <c:scaling>
          <c:orientation val="minMax"/>
          <c:min val="400"/>
        </c:scaling>
        <c:delete val="0"/>
        <c:axPos val="l"/>
        <c:majorGridlines/>
        <c:numFmt formatCode="General" sourceLinked="1"/>
        <c:majorTickMark val="out"/>
        <c:minorTickMark val="none"/>
        <c:tickLblPos val="nextTo"/>
        <c:crossAx val="250483456"/>
        <c:crosses val="autoZero"/>
        <c:crossBetween val="midCat"/>
        <c:majorUnit val="100"/>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Bison Bites Supply (Q) and Demand (Q) </a:t>
            </a:r>
            <a:endParaRPr lang="en-US" sz="1100">
              <a:effectLst/>
            </a:endParaRPr>
          </a:p>
        </c:rich>
      </c:tx>
      <c:layout>
        <c:manualLayout>
          <c:xMode val="edge"/>
          <c:yMode val="edge"/>
          <c:x val="0.19841926393107495"/>
          <c:y val="0"/>
        </c:manualLayout>
      </c:layout>
      <c:overlay val="0"/>
    </c:title>
    <c:autoTitleDeleted val="0"/>
    <c:plotArea>
      <c:layout>
        <c:manualLayout>
          <c:layoutTarget val="inner"/>
          <c:xMode val="edge"/>
          <c:yMode val="edge"/>
          <c:x val="0.14757053402722695"/>
          <c:y val="0.1737983146843487"/>
          <c:w val="0.7685470151611884"/>
          <c:h val="0.7347923746373809"/>
        </c:manualLayout>
      </c:layout>
      <c:scatterChart>
        <c:scatterStyle val="lineMarker"/>
        <c:varyColors val="0"/>
        <c:ser>
          <c:idx val="0"/>
          <c:order val="0"/>
          <c:tx>
            <c:v>Demand Curve</c:v>
          </c:tx>
          <c:marker>
            <c:symbol val="none"/>
          </c:marker>
          <c:xVal>
            <c:numRef>
              <c:f>'2.1 Supply &amp; Demand'!$H$13:$H$18</c:f>
              <c:numCache>
                <c:formatCode>General</c:formatCode>
                <c:ptCount val="6"/>
                <c:pt idx="0">
                  <c:v>1200</c:v>
                </c:pt>
                <c:pt idx="1">
                  <c:v>1100</c:v>
                </c:pt>
                <c:pt idx="2">
                  <c:v>900</c:v>
                </c:pt>
                <c:pt idx="3">
                  <c:v>800</c:v>
                </c:pt>
                <c:pt idx="4">
                  <c:v>700</c:v>
                </c:pt>
                <c:pt idx="5">
                  <c:v>400</c:v>
                </c:pt>
              </c:numCache>
            </c:numRef>
          </c:xVal>
          <c:yVal>
            <c:numRef>
              <c:f>'2.1 Supply &amp; Demand'!$G$13:$G$18</c:f>
              <c:numCache>
                <c:formatCode>"$"#,##0.00_);[Red]\("$"#,##0.00\)</c:formatCode>
                <c:ptCount val="6"/>
                <c:pt idx="0">
                  <c:v>1</c:v>
                </c:pt>
                <c:pt idx="1">
                  <c:v>1.25</c:v>
                </c:pt>
                <c:pt idx="2">
                  <c:v>1.5</c:v>
                </c:pt>
                <c:pt idx="3">
                  <c:v>1.75</c:v>
                </c:pt>
                <c:pt idx="4">
                  <c:v>2</c:v>
                </c:pt>
                <c:pt idx="5">
                  <c:v>2.25</c:v>
                </c:pt>
              </c:numCache>
            </c:numRef>
          </c:yVal>
          <c:smooth val="0"/>
        </c:ser>
        <c:ser>
          <c:idx val="1"/>
          <c:order val="1"/>
          <c:tx>
            <c:v>Supply Curve</c:v>
          </c:tx>
          <c:marker>
            <c:symbol val="none"/>
          </c:marker>
          <c:xVal>
            <c:numRef>
              <c:f>'2.1 Supply &amp; Demand'!$I$13:$I$18</c:f>
              <c:numCache>
                <c:formatCode>General</c:formatCode>
                <c:ptCount val="6"/>
                <c:pt idx="0">
                  <c:v>500</c:v>
                </c:pt>
                <c:pt idx="1">
                  <c:v>600</c:v>
                </c:pt>
                <c:pt idx="2">
                  <c:v>700</c:v>
                </c:pt>
                <c:pt idx="3">
                  <c:v>900</c:v>
                </c:pt>
                <c:pt idx="4">
                  <c:v>1000</c:v>
                </c:pt>
                <c:pt idx="5">
                  <c:v>1400</c:v>
                </c:pt>
              </c:numCache>
            </c:numRef>
          </c:xVal>
          <c:yVal>
            <c:numRef>
              <c:f>'2.1 Supply &amp; Demand'!$G$13:$G$18</c:f>
              <c:numCache>
                <c:formatCode>"$"#,##0.00_);[Red]\("$"#,##0.00\)</c:formatCode>
                <c:ptCount val="6"/>
                <c:pt idx="0">
                  <c:v>1</c:v>
                </c:pt>
                <c:pt idx="1">
                  <c:v>1.25</c:v>
                </c:pt>
                <c:pt idx="2">
                  <c:v>1.5</c:v>
                </c:pt>
                <c:pt idx="3">
                  <c:v>1.75</c:v>
                </c:pt>
                <c:pt idx="4">
                  <c:v>2</c:v>
                </c:pt>
                <c:pt idx="5">
                  <c:v>2.25</c:v>
                </c:pt>
              </c:numCache>
            </c:numRef>
          </c:yVal>
          <c:smooth val="0"/>
        </c:ser>
        <c:dLbls>
          <c:showLegendKey val="0"/>
          <c:showVal val="0"/>
          <c:showCatName val="0"/>
          <c:showSerName val="0"/>
          <c:showPercent val="0"/>
          <c:showBubbleSize val="0"/>
        </c:dLbls>
        <c:axId val="250526720"/>
        <c:axId val="250528512"/>
      </c:scatterChart>
      <c:valAx>
        <c:axId val="250526720"/>
        <c:scaling>
          <c:orientation val="minMax"/>
          <c:max val="1400"/>
          <c:min val="500"/>
        </c:scaling>
        <c:delete val="0"/>
        <c:axPos val="b"/>
        <c:numFmt formatCode="General" sourceLinked="1"/>
        <c:majorTickMark val="cross"/>
        <c:minorTickMark val="cross"/>
        <c:tickLblPos val="nextTo"/>
        <c:crossAx val="250528512"/>
        <c:crosses val="autoZero"/>
        <c:crossBetween val="midCat"/>
        <c:majorUnit val="100"/>
        <c:minorUnit val="100"/>
      </c:valAx>
      <c:valAx>
        <c:axId val="250528512"/>
        <c:scaling>
          <c:orientation val="minMax"/>
          <c:max val="2.25"/>
          <c:min val="0.75000000000000011"/>
        </c:scaling>
        <c:delete val="0"/>
        <c:axPos val="l"/>
        <c:majorGridlines/>
        <c:numFmt formatCode="&quot;$&quot;#,##0.00_);[Red]\(&quot;$&quot;#,##0.00\)" sourceLinked="1"/>
        <c:majorTickMark val="none"/>
        <c:minorTickMark val="none"/>
        <c:tickLblPos val="nextTo"/>
        <c:crossAx val="250526720"/>
        <c:crosses val="autoZero"/>
        <c:crossBetween val="midCat"/>
        <c:majorUnit val="0.25"/>
        <c:minorUnit val="0.25"/>
      </c:valAx>
    </c:plotArea>
    <c:legend>
      <c:legendPos val="r"/>
      <c:layout>
        <c:manualLayout>
          <c:xMode val="edge"/>
          <c:yMode val="edge"/>
          <c:x val="0.16309543616630232"/>
          <c:y val="6.5375604365243783E-2"/>
          <c:w val="0.64362037054950438"/>
          <c:h val="7.7774830777731729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Lamb Lovies Price ($) vs. Demand (Q)</a:t>
            </a:r>
          </a:p>
        </c:rich>
      </c:tx>
      <c:overlay val="0"/>
    </c:title>
    <c:autoTitleDeleted val="0"/>
    <c:plotArea>
      <c:layout/>
      <c:scatterChart>
        <c:scatterStyle val="lineMarker"/>
        <c:varyColors val="0"/>
        <c:ser>
          <c:idx val="0"/>
          <c:order val="0"/>
          <c:marker>
            <c:symbol val="none"/>
          </c:marker>
          <c:xVal>
            <c:numRef>
              <c:f>'2.1 Supply &amp; Demand'!$A$23:$A$28</c:f>
              <c:numCache>
                <c:formatCode>"$"#,##0.00_);[Red]\("$"#,##0.00\)</c:formatCode>
                <c:ptCount val="6"/>
                <c:pt idx="0">
                  <c:v>1.75</c:v>
                </c:pt>
                <c:pt idx="1">
                  <c:v>2</c:v>
                </c:pt>
                <c:pt idx="2">
                  <c:v>2.25</c:v>
                </c:pt>
                <c:pt idx="3">
                  <c:v>2.5</c:v>
                </c:pt>
                <c:pt idx="4">
                  <c:v>2.75</c:v>
                </c:pt>
                <c:pt idx="5">
                  <c:v>3</c:v>
                </c:pt>
              </c:numCache>
            </c:numRef>
          </c:xVal>
          <c:yVal>
            <c:numRef>
              <c:f>'2.1 Supply &amp; Demand'!$B$23:$B$28</c:f>
              <c:numCache>
                <c:formatCode>General</c:formatCode>
                <c:ptCount val="6"/>
                <c:pt idx="0">
                  <c:v>1500</c:v>
                </c:pt>
                <c:pt idx="1">
                  <c:v>1400</c:v>
                </c:pt>
                <c:pt idx="2">
                  <c:v>1200</c:v>
                </c:pt>
                <c:pt idx="3">
                  <c:v>1000</c:v>
                </c:pt>
                <c:pt idx="4">
                  <c:v>800</c:v>
                </c:pt>
                <c:pt idx="5">
                  <c:v>700</c:v>
                </c:pt>
              </c:numCache>
            </c:numRef>
          </c:yVal>
          <c:smooth val="0"/>
        </c:ser>
        <c:dLbls>
          <c:showLegendKey val="0"/>
          <c:showVal val="0"/>
          <c:showCatName val="0"/>
          <c:showSerName val="0"/>
          <c:showPercent val="0"/>
          <c:showBubbleSize val="0"/>
        </c:dLbls>
        <c:axId val="250540416"/>
        <c:axId val="250541952"/>
      </c:scatterChart>
      <c:valAx>
        <c:axId val="250540416"/>
        <c:scaling>
          <c:orientation val="minMax"/>
          <c:max val="3"/>
          <c:min val="1.75"/>
        </c:scaling>
        <c:delete val="0"/>
        <c:axPos val="b"/>
        <c:numFmt formatCode="&quot;$&quot;#,##0.00_);[Red]\(&quot;$&quot;#,##0.00\)" sourceLinked="1"/>
        <c:majorTickMark val="cross"/>
        <c:minorTickMark val="cross"/>
        <c:tickLblPos val="nextTo"/>
        <c:crossAx val="250541952"/>
        <c:crosses val="autoZero"/>
        <c:crossBetween val="midCat"/>
        <c:majorUnit val="0.25"/>
        <c:minorUnit val="0.25"/>
      </c:valAx>
      <c:valAx>
        <c:axId val="250541952"/>
        <c:scaling>
          <c:orientation val="minMax"/>
          <c:min val="700"/>
        </c:scaling>
        <c:delete val="0"/>
        <c:axPos val="l"/>
        <c:majorGridlines/>
        <c:numFmt formatCode="General" sourceLinked="1"/>
        <c:majorTickMark val="cross"/>
        <c:minorTickMark val="cross"/>
        <c:tickLblPos val="nextTo"/>
        <c:crossAx val="250540416"/>
        <c:crosses val="autoZero"/>
        <c:crossBetween val="midCat"/>
        <c:majorUnit val="100"/>
        <c:minorUnit val="100"/>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100"/>
            </a:pPr>
            <a:r>
              <a:rPr lang="en-US" sz="1100"/>
              <a:t>Lamb Lovies Price  ($) vs. Supply (Q)</a:t>
            </a:r>
          </a:p>
        </c:rich>
      </c:tx>
      <c:overlay val="0"/>
    </c:title>
    <c:autoTitleDeleted val="0"/>
    <c:plotArea>
      <c:layout/>
      <c:lineChart>
        <c:grouping val="standard"/>
        <c:varyColors val="0"/>
        <c:ser>
          <c:idx val="0"/>
          <c:order val="0"/>
          <c:marker>
            <c:symbol val="none"/>
          </c:marker>
          <c:cat>
            <c:numRef>
              <c:f>'2.1 Supply &amp; Demand'!$E$23:$E$28</c:f>
              <c:numCache>
                <c:formatCode>General</c:formatCode>
                <c:ptCount val="6"/>
                <c:pt idx="0">
                  <c:v>800</c:v>
                </c:pt>
                <c:pt idx="1">
                  <c:v>900</c:v>
                </c:pt>
                <c:pt idx="2">
                  <c:v>1000</c:v>
                </c:pt>
                <c:pt idx="3">
                  <c:v>1200</c:v>
                </c:pt>
                <c:pt idx="4">
                  <c:v>1400</c:v>
                </c:pt>
                <c:pt idx="5">
                  <c:v>1600</c:v>
                </c:pt>
              </c:numCache>
            </c:numRef>
          </c:cat>
          <c:val>
            <c:numRef>
              <c:f>'2.1 Supply &amp; Demand'!$D$23:$D$28</c:f>
              <c:numCache>
                <c:formatCode>"$"#,##0.00_);[Red]\("$"#,##0.00\)</c:formatCode>
                <c:ptCount val="6"/>
                <c:pt idx="0">
                  <c:v>1.75</c:v>
                </c:pt>
                <c:pt idx="1">
                  <c:v>2</c:v>
                </c:pt>
                <c:pt idx="2">
                  <c:v>2.25</c:v>
                </c:pt>
                <c:pt idx="3">
                  <c:v>2.5</c:v>
                </c:pt>
                <c:pt idx="4">
                  <c:v>2.75</c:v>
                </c:pt>
                <c:pt idx="5">
                  <c:v>3</c:v>
                </c:pt>
              </c:numCache>
            </c:numRef>
          </c:val>
          <c:smooth val="0"/>
        </c:ser>
        <c:ser>
          <c:idx val="1"/>
          <c:order val="1"/>
          <c:marker>
            <c:symbol val="none"/>
          </c:marker>
          <c:cat>
            <c:numRef>
              <c:f>'2.1 Supply &amp; Demand'!$E$23:$E$28</c:f>
              <c:numCache>
                <c:formatCode>General</c:formatCode>
                <c:ptCount val="6"/>
                <c:pt idx="0">
                  <c:v>800</c:v>
                </c:pt>
                <c:pt idx="1">
                  <c:v>900</c:v>
                </c:pt>
                <c:pt idx="2">
                  <c:v>1000</c:v>
                </c:pt>
                <c:pt idx="3">
                  <c:v>1200</c:v>
                </c:pt>
                <c:pt idx="4">
                  <c:v>1400</c:v>
                </c:pt>
                <c:pt idx="5">
                  <c:v>1600</c:v>
                </c:pt>
              </c:numCache>
            </c:numRef>
          </c:cat>
          <c:val>
            <c:numRef>
              <c:f>'2.1 Supply &amp; Demand'!$E$23:$E$28</c:f>
              <c:numCache>
                <c:formatCode>General</c:formatCode>
                <c:ptCount val="6"/>
                <c:pt idx="0">
                  <c:v>800</c:v>
                </c:pt>
                <c:pt idx="1">
                  <c:v>900</c:v>
                </c:pt>
                <c:pt idx="2">
                  <c:v>1000</c:v>
                </c:pt>
                <c:pt idx="3">
                  <c:v>1200</c:v>
                </c:pt>
                <c:pt idx="4">
                  <c:v>1400</c:v>
                </c:pt>
                <c:pt idx="5">
                  <c:v>1600</c:v>
                </c:pt>
              </c:numCache>
            </c:numRef>
          </c:val>
          <c:smooth val="0"/>
        </c:ser>
        <c:dLbls>
          <c:showLegendKey val="0"/>
          <c:showVal val="0"/>
          <c:showCatName val="0"/>
          <c:showSerName val="0"/>
          <c:showPercent val="0"/>
          <c:showBubbleSize val="0"/>
        </c:dLbls>
        <c:marker val="1"/>
        <c:smooth val="0"/>
        <c:axId val="250824960"/>
        <c:axId val="250834944"/>
      </c:lineChart>
      <c:catAx>
        <c:axId val="250824960"/>
        <c:scaling>
          <c:orientation val="minMax"/>
        </c:scaling>
        <c:delete val="0"/>
        <c:axPos val="b"/>
        <c:numFmt formatCode="#,##0" sourceLinked="0"/>
        <c:majorTickMark val="cross"/>
        <c:minorTickMark val="cross"/>
        <c:tickLblPos val="nextTo"/>
        <c:crossAx val="250834944"/>
        <c:crosses val="autoZero"/>
        <c:auto val="1"/>
        <c:lblAlgn val="ctr"/>
        <c:lblOffset val="100"/>
        <c:noMultiLvlLbl val="0"/>
      </c:catAx>
      <c:valAx>
        <c:axId val="250834944"/>
        <c:scaling>
          <c:orientation val="minMax"/>
          <c:max val="3"/>
          <c:min val="1.5"/>
        </c:scaling>
        <c:delete val="0"/>
        <c:axPos val="l"/>
        <c:majorGridlines/>
        <c:numFmt formatCode="&quot;$&quot;#,##0.00_);[Red]\(&quot;$&quot;#,##0.00\)" sourceLinked="1"/>
        <c:majorTickMark val="cross"/>
        <c:minorTickMark val="cross"/>
        <c:tickLblPos val="nextTo"/>
        <c:crossAx val="250824960"/>
        <c:crosses val="autoZero"/>
        <c:crossBetween val="midCat"/>
        <c:majorUnit val="0.25"/>
        <c:minorUnit val="0.25"/>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Lamb Lovies  Supply (Q) and Demand (Q) </a:t>
            </a:r>
            <a:endParaRPr lang="en-US" sz="1100">
              <a:effectLst/>
            </a:endParaRPr>
          </a:p>
        </c:rich>
      </c:tx>
      <c:layout>
        <c:manualLayout>
          <c:xMode val="edge"/>
          <c:yMode val="edge"/>
          <c:x val="0.19841926393107495"/>
          <c:y val="0"/>
        </c:manualLayout>
      </c:layout>
      <c:overlay val="0"/>
    </c:title>
    <c:autoTitleDeleted val="0"/>
    <c:plotArea>
      <c:layout>
        <c:manualLayout>
          <c:layoutTarget val="inner"/>
          <c:xMode val="edge"/>
          <c:yMode val="edge"/>
          <c:x val="0.14757053402722695"/>
          <c:y val="0.1737983146843487"/>
          <c:w val="0.7685470151611884"/>
          <c:h val="0.7347923746373809"/>
        </c:manualLayout>
      </c:layout>
      <c:scatterChart>
        <c:scatterStyle val="lineMarker"/>
        <c:varyColors val="0"/>
        <c:ser>
          <c:idx val="0"/>
          <c:order val="0"/>
          <c:tx>
            <c:v>Demand Curve</c:v>
          </c:tx>
          <c:marker>
            <c:symbol val="none"/>
          </c:marker>
          <c:xVal>
            <c:numRef>
              <c:f>'2.1 Supply &amp; Demand'!$H$23:$H$28</c:f>
              <c:numCache>
                <c:formatCode>General</c:formatCode>
                <c:ptCount val="6"/>
                <c:pt idx="0">
                  <c:v>1500</c:v>
                </c:pt>
                <c:pt idx="1">
                  <c:v>1400</c:v>
                </c:pt>
                <c:pt idx="2">
                  <c:v>1200</c:v>
                </c:pt>
                <c:pt idx="3">
                  <c:v>1000</c:v>
                </c:pt>
                <c:pt idx="4">
                  <c:v>800</c:v>
                </c:pt>
                <c:pt idx="5">
                  <c:v>700</c:v>
                </c:pt>
              </c:numCache>
            </c:numRef>
          </c:xVal>
          <c:yVal>
            <c:numRef>
              <c:f>'2.1 Supply &amp; Demand'!$G$23:$G$28</c:f>
              <c:numCache>
                <c:formatCode>"$"#,##0.00_);[Red]\("$"#,##0.00\)</c:formatCode>
                <c:ptCount val="6"/>
                <c:pt idx="0">
                  <c:v>1.75</c:v>
                </c:pt>
                <c:pt idx="1">
                  <c:v>2</c:v>
                </c:pt>
                <c:pt idx="2">
                  <c:v>2.25</c:v>
                </c:pt>
                <c:pt idx="3">
                  <c:v>2.5</c:v>
                </c:pt>
                <c:pt idx="4">
                  <c:v>2.75</c:v>
                </c:pt>
                <c:pt idx="5">
                  <c:v>3</c:v>
                </c:pt>
              </c:numCache>
            </c:numRef>
          </c:yVal>
          <c:smooth val="0"/>
        </c:ser>
        <c:ser>
          <c:idx val="1"/>
          <c:order val="1"/>
          <c:tx>
            <c:v>Supply Curve</c:v>
          </c:tx>
          <c:marker>
            <c:symbol val="none"/>
          </c:marker>
          <c:xVal>
            <c:numRef>
              <c:f>'2.1 Supply &amp; Demand'!$I$23:$I$28</c:f>
              <c:numCache>
                <c:formatCode>General</c:formatCode>
                <c:ptCount val="6"/>
                <c:pt idx="0">
                  <c:v>800</c:v>
                </c:pt>
                <c:pt idx="1">
                  <c:v>900</c:v>
                </c:pt>
                <c:pt idx="2">
                  <c:v>1000</c:v>
                </c:pt>
                <c:pt idx="3">
                  <c:v>1200</c:v>
                </c:pt>
                <c:pt idx="4">
                  <c:v>1400</c:v>
                </c:pt>
                <c:pt idx="5">
                  <c:v>1600</c:v>
                </c:pt>
              </c:numCache>
            </c:numRef>
          </c:xVal>
          <c:yVal>
            <c:numRef>
              <c:f>'2.1 Supply &amp; Demand'!$G$23:$G$28</c:f>
              <c:numCache>
                <c:formatCode>"$"#,##0.00_);[Red]\("$"#,##0.00\)</c:formatCode>
                <c:ptCount val="6"/>
                <c:pt idx="0">
                  <c:v>1.75</c:v>
                </c:pt>
                <c:pt idx="1">
                  <c:v>2</c:v>
                </c:pt>
                <c:pt idx="2">
                  <c:v>2.25</c:v>
                </c:pt>
                <c:pt idx="3">
                  <c:v>2.5</c:v>
                </c:pt>
                <c:pt idx="4">
                  <c:v>2.75</c:v>
                </c:pt>
                <c:pt idx="5">
                  <c:v>3</c:v>
                </c:pt>
              </c:numCache>
            </c:numRef>
          </c:yVal>
          <c:smooth val="0"/>
        </c:ser>
        <c:dLbls>
          <c:showLegendKey val="0"/>
          <c:showVal val="0"/>
          <c:showCatName val="0"/>
          <c:showSerName val="0"/>
          <c:showPercent val="0"/>
          <c:showBubbleSize val="0"/>
        </c:dLbls>
        <c:axId val="251150336"/>
        <c:axId val="251151872"/>
      </c:scatterChart>
      <c:valAx>
        <c:axId val="251150336"/>
        <c:scaling>
          <c:orientation val="minMax"/>
          <c:max val="1600"/>
          <c:min val="800"/>
        </c:scaling>
        <c:delete val="0"/>
        <c:axPos val="b"/>
        <c:numFmt formatCode="General" sourceLinked="1"/>
        <c:majorTickMark val="cross"/>
        <c:minorTickMark val="cross"/>
        <c:tickLblPos val="nextTo"/>
        <c:crossAx val="251151872"/>
        <c:crosses val="autoZero"/>
        <c:crossBetween val="midCat"/>
        <c:majorUnit val="100"/>
        <c:minorUnit val="100"/>
      </c:valAx>
      <c:valAx>
        <c:axId val="251151872"/>
        <c:scaling>
          <c:orientation val="minMax"/>
          <c:max val="3"/>
          <c:min val="1.5"/>
        </c:scaling>
        <c:delete val="0"/>
        <c:axPos val="l"/>
        <c:majorGridlines/>
        <c:numFmt formatCode="&quot;$&quot;#,##0.00_);[Red]\(&quot;$&quot;#,##0.00\)" sourceLinked="1"/>
        <c:majorTickMark val="cross"/>
        <c:minorTickMark val="cross"/>
        <c:tickLblPos val="nextTo"/>
        <c:crossAx val="251150336"/>
        <c:crosses val="autoZero"/>
        <c:crossBetween val="midCat"/>
        <c:majorUnit val="0.25"/>
        <c:minorUnit val="0.25"/>
      </c:valAx>
    </c:plotArea>
    <c:legend>
      <c:legendPos val="r"/>
      <c:layout>
        <c:manualLayout>
          <c:xMode val="edge"/>
          <c:yMode val="edge"/>
          <c:x val="0.16309543616630232"/>
          <c:y val="6.5375604365243783E-2"/>
          <c:w val="0.64362037054950438"/>
          <c:h val="7.7774830777731729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Party Pooch</a:t>
            </a:r>
            <a:r>
              <a:rPr lang="en-US" sz="1100" baseline="0"/>
              <a:t>  </a:t>
            </a:r>
            <a:r>
              <a:rPr lang="en-US" sz="1100"/>
              <a:t>Price ($) vs. Demand (Q)</a:t>
            </a:r>
          </a:p>
        </c:rich>
      </c:tx>
      <c:overlay val="0"/>
    </c:title>
    <c:autoTitleDeleted val="0"/>
    <c:plotArea>
      <c:layout/>
      <c:scatterChart>
        <c:scatterStyle val="lineMarker"/>
        <c:varyColors val="0"/>
        <c:ser>
          <c:idx val="0"/>
          <c:order val="0"/>
          <c:marker>
            <c:symbol val="none"/>
          </c:marker>
          <c:xVal>
            <c:numRef>
              <c:f>'2.1 Supply &amp; Demand'!$A$33:$A$38</c:f>
              <c:numCache>
                <c:formatCode>"$"#,##0.00_);[Red]\("$"#,##0.00\)</c:formatCode>
                <c:ptCount val="6"/>
                <c:pt idx="0">
                  <c:v>16</c:v>
                </c:pt>
                <c:pt idx="1">
                  <c:v>18</c:v>
                </c:pt>
                <c:pt idx="2">
                  <c:v>20</c:v>
                </c:pt>
                <c:pt idx="3">
                  <c:v>22</c:v>
                </c:pt>
                <c:pt idx="4">
                  <c:v>24</c:v>
                </c:pt>
                <c:pt idx="5">
                  <c:v>26</c:v>
                </c:pt>
              </c:numCache>
            </c:numRef>
          </c:xVal>
          <c:yVal>
            <c:numRef>
              <c:f>'2.1 Supply &amp; Demand'!$B$33:$B$38</c:f>
              <c:numCache>
                <c:formatCode>General</c:formatCode>
                <c:ptCount val="6"/>
                <c:pt idx="0">
                  <c:v>1400</c:v>
                </c:pt>
                <c:pt idx="1">
                  <c:v>1200</c:v>
                </c:pt>
                <c:pt idx="2">
                  <c:v>1100</c:v>
                </c:pt>
                <c:pt idx="3">
                  <c:v>1000</c:v>
                </c:pt>
                <c:pt idx="4">
                  <c:v>900</c:v>
                </c:pt>
                <c:pt idx="5">
                  <c:v>800</c:v>
                </c:pt>
              </c:numCache>
            </c:numRef>
          </c:yVal>
          <c:smooth val="0"/>
        </c:ser>
        <c:dLbls>
          <c:showLegendKey val="0"/>
          <c:showVal val="0"/>
          <c:showCatName val="0"/>
          <c:showSerName val="0"/>
          <c:showPercent val="0"/>
          <c:showBubbleSize val="0"/>
        </c:dLbls>
        <c:axId val="251168256"/>
        <c:axId val="251169792"/>
      </c:scatterChart>
      <c:valAx>
        <c:axId val="251168256"/>
        <c:scaling>
          <c:orientation val="minMax"/>
          <c:max val="28"/>
          <c:min val="15"/>
        </c:scaling>
        <c:delete val="0"/>
        <c:axPos val="b"/>
        <c:numFmt formatCode="&quot;$&quot;#,##0.00_);[Red]\(&quot;$&quot;#,##0.00\)" sourceLinked="1"/>
        <c:majorTickMark val="cross"/>
        <c:minorTickMark val="cross"/>
        <c:tickLblPos val="nextTo"/>
        <c:crossAx val="251169792"/>
        <c:crosses val="autoZero"/>
        <c:crossBetween val="midCat"/>
        <c:majorUnit val="2"/>
        <c:minorUnit val="2"/>
      </c:valAx>
      <c:valAx>
        <c:axId val="251169792"/>
        <c:scaling>
          <c:orientation val="minMax"/>
          <c:min val="700"/>
        </c:scaling>
        <c:delete val="0"/>
        <c:axPos val="l"/>
        <c:majorGridlines/>
        <c:numFmt formatCode="General" sourceLinked="1"/>
        <c:majorTickMark val="cross"/>
        <c:minorTickMark val="cross"/>
        <c:tickLblPos val="nextTo"/>
        <c:crossAx val="251168256"/>
        <c:crosses val="autoZero"/>
        <c:crossBetween val="midCat"/>
        <c:majorUnit val="100"/>
        <c:minorUnit val="100"/>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100"/>
            </a:pPr>
            <a:r>
              <a:rPr lang="en-US" sz="1100"/>
              <a:t>Party Pooch Price  ($) vs. Supply (Q)</a:t>
            </a:r>
          </a:p>
        </c:rich>
      </c:tx>
      <c:overlay val="0"/>
    </c:title>
    <c:autoTitleDeleted val="0"/>
    <c:plotArea>
      <c:layout/>
      <c:lineChart>
        <c:grouping val="standard"/>
        <c:varyColors val="0"/>
        <c:ser>
          <c:idx val="0"/>
          <c:order val="0"/>
          <c:marker>
            <c:symbol val="none"/>
          </c:marker>
          <c:cat>
            <c:numRef>
              <c:f>'2.1 Supply &amp; Demand'!$E$33:$E$38</c:f>
              <c:numCache>
                <c:formatCode>General</c:formatCode>
                <c:ptCount val="6"/>
                <c:pt idx="0">
                  <c:v>600</c:v>
                </c:pt>
                <c:pt idx="1">
                  <c:v>700</c:v>
                </c:pt>
                <c:pt idx="2">
                  <c:v>800</c:v>
                </c:pt>
                <c:pt idx="3">
                  <c:v>1000</c:v>
                </c:pt>
                <c:pt idx="4">
                  <c:v>1200</c:v>
                </c:pt>
                <c:pt idx="5">
                  <c:v>1400</c:v>
                </c:pt>
              </c:numCache>
            </c:numRef>
          </c:cat>
          <c:val>
            <c:numRef>
              <c:f>'2.1 Supply &amp; Demand'!$D$33:$D$38</c:f>
              <c:numCache>
                <c:formatCode>"$"#,##0.00_);[Red]\("$"#,##0.00\)</c:formatCode>
                <c:ptCount val="6"/>
                <c:pt idx="0">
                  <c:v>16</c:v>
                </c:pt>
                <c:pt idx="1">
                  <c:v>18</c:v>
                </c:pt>
                <c:pt idx="2">
                  <c:v>20</c:v>
                </c:pt>
                <c:pt idx="3">
                  <c:v>22</c:v>
                </c:pt>
                <c:pt idx="4">
                  <c:v>24</c:v>
                </c:pt>
                <c:pt idx="5">
                  <c:v>26</c:v>
                </c:pt>
              </c:numCache>
            </c:numRef>
          </c:val>
          <c:smooth val="0"/>
        </c:ser>
        <c:dLbls>
          <c:showLegendKey val="0"/>
          <c:showVal val="0"/>
          <c:showCatName val="0"/>
          <c:showSerName val="0"/>
          <c:showPercent val="0"/>
          <c:showBubbleSize val="0"/>
        </c:dLbls>
        <c:marker val="1"/>
        <c:smooth val="0"/>
        <c:axId val="251210368"/>
        <c:axId val="251212160"/>
      </c:lineChart>
      <c:catAx>
        <c:axId val="251210368"/>
        <c:scaling>
          <c:orientation val="minMax"/>
        </c:scaling>
        <c:delete val="0"/>
        <c:axPos val="b"/>
        <c:numFmt formatCode="#,##0" sourceLinked="0"/>
        <c:majorTickMark val="cross"/>
        <c:minorTickMark val="cross"/>
        <c:tickLblPos val="nextTo"/>
        <c:crossAx val="251212160"/>
        <c:crosses val="autoZero"/>
        <c:auto val="1"/>
        <c:lblAlgn val="ctr"/>
        <c:lblOffset val="100"/>
        <c:noMultiLvlLbl val="0"/>
      </c:catAx>
      <c:valAx>
        <c:axId val="251212160"/>
        <c:scaling>
          <c:orientation val="minMax"/>
          <c:max val="27"/>
          <c:min val="15"/>
        </c:scaling>
        <c:delete val="0"/>
        <c:axPos val="l"/>
        <c:majorGridlines/>
        <c:numFmt formatCode="&quot;$&quot;#,##0.00_);[Red]\(&quot;$&quot;#,##0.00\)" sourceLinked="1"/>
        <c:majorTickMark val="cross"/>
        <c:minorTickMark val="cross"/>
        <c:tickLblPos val="nextTo"/>
        <c:crossAx val="251210368"/>
        <c:crosses val="autoZero"/>
        <c:crossBetween val="midCat"/>
        <c:majorUnit val="2"/>
        <c:minorUnit val="2"/>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Party Pooch Supply (Q) and Demand (Q) </a:t>
            </a:r>
            <a:endParaRPr lang="en-US" sz="1100">
              <a:effectLst/>
            </a:endParaRPr>
          </a:p>
        </c:rich>
      </c:tx>
      <c:layout>
        <c:manualLayout>
          <c:xMode val="edge"/>
          <c:yMode val="edge"/>
          <c:x val="0.19841926393107495"/>
          <c:y val="0"/>
        </c:manualLayout>
      </c:layout>
      <c:overlay val="0"/>
    </c:title>
    <c:autoTitleDeleted val="0"/>
    <c:plotArea>
      <c:layout>
        <c:manualLayout>
          <c:layoutTarget val="inner"/>
          <c:xMode val="edge"/>
          <c:yMode val="edge"/>
          <c:x val="0.14757053402722695"/>
          <c:y val="0.1737983146843487"/>
          <c:w val="0.7685470151611884"/>
          <c:h val="0.7347923746373809"/>
        </c:manualLayout>
      </c:layout>
      <c:scatterChart>
        <c:scatterStyle val="lineMarker"/>
        <c:varyColors val="0"/>
        <c:ser>
          <c:idx val="0"/>
          <c:order val="0"/>
          <c:tx>
            <c:v>Demand Curve</c:v>
          </c:tx>
          <c:marker>
            <c:symbol val="none"/>
          </c:marker>
          <c:xVal>
            <c:numRef>
              <c:f>'2.1 Supply &amp; Demand'!$H$33:$H$38</c:f>
              <c:numCache>
                <c:formatCode>General</c:formatCode>
                <c:ptCount val="6"/>
                <c:pt idx="0">
                  <c:v>1400</c:v>
                </c:pt>
                <c:pt idx="1">
                  <c:v>1200</c:v>
                </c:pt>
                <c:pt idx="2">
                  <c:v>1100</c:v>
                </c:pt>
                <c:pt idx="3">
                  <c:v>1000</c:v>
                </c:pt>
                <c:pt idx="4">
                  <c:v>900</c:v>
                </c:pt>
                <c:pt idx="5">
                  <c:v>800</c:v>
                </c:pt>
              </c:numCache>
            </c:numRef>
          </c:xVal>
          <c:yVal>
            <c:numRef>
              <c:f>'2.1 Supply &amp; Demand'!$G$33:$G$38</c:f>
              <c:numCache>
                <c:formatCode>"$"#,##0.00_);[Red]\("$"#,##0.00\)</c:formatCode>
                <c:ptCount val="6"/>
                <c:pt idx="0">
                  <c:v>16</c:v>
                </c:pt>
                <c:pt idx="1">
                  <c:v>18</c:v>
                </c:pt>
                <c:pt idx="2">
                  <c:v>20</c:v>
                </c:pt>
                <c:pt idx="3">
                  <c:v>22</c:v>
                </c:pt>
                <c:pt idx="4">
                  <c:v>24</c:v>
                </c:pt>
                <c:pt idx="5">
                  <c:v>26</c:v>
                </c:pt>
              </c:numCache>
            </c:numRef>
          </c:yVal>
          <c:smooth val="0"/>
        </c:ser>
        <c:ser>
          <c:idx val="1"/>
          <c:order val="1"/>
          <c:tx>
            <c:v>Supply Curve</c:v>
          </c:tx>
          <c:marker>
            <c:symbol val="none"/>
          </c:marker>
          <c:xVal>
            <c:numRef>
              <c:f>'2.1 Supply &amp; Demand'!$I$33:$I$38</c:f>
              <c:numCache>
                <c:formatCode>General</c:formatCode>
                <c:ptCount val="6"/>
                <c:pt idx="0">
                  <c:v>600</c:v>
                </c:pt>
                <c:pt idx="1">
                  <c:v>700</c:v>
                </c:pt>
                <c:pt idx="2">
                  <c:v>800</c:v>
                </c:pt>
                <c:pt idx="3">
                  <c:v>1000</c:v>
                </c:pt>
                <c:pt idx="4">
                  <c:v>1200</c:v>
                </c:pt>
                <c:pt idx="5">
                  <c:v>1400</c:v>
                </c:pt>
              </c:numCache>
            </c:numRef>
          </c:xVal>
          <c:yVal>
            <c:numRef>
              <c:f>'2.1 Supply &amp; Demand'!$G$33:$G$38</c:f>
              <c:numCache>
                <c:formatCode>"$"#,##0.00_);[Red]\("$"#,##0.00\)</c:formatCode>
                <c:ptCount val="6"/>
                <c:pt idx="0">
                  <c:v>16</c:v>
                </c:pt>
                <c:pt idx="1">
                  <c:v>18</c:v>
                </c:pt>
                <c:pt idx="2">
                  <c:v>20</c:v>
                </c:pt>
                <c:pt idx="3">
                  <c:v>22</c:v>
                </c:pt>
                <c:pt idx="4">
                  <c:v>24</c:v>
                </c:pt>
                <c:pt idx="5">
                  <c:v>26</c:v>
                </c:pt>
              </c:numCache>
            </c:numRef>
          </c:yVal>
          <c:smooth val="0"/>
        </c:ser>
        <c:dLbls>
          <c:showLegendKey val="0"/>
          <c:showVal val="0"/>
          <c:showCatName val="0"/>
          <c:showSerName val="0"/>
          <c:showPercent val="0"/>
          <c:showBubbleSize val="0"/>
        </c:dLbls>
        <c:axId val="251233024"/>
        <c:axId val="251234560"/>
      </c:scatterChart>
      <c:valAx>
        <c:axId val="251233024"/>
        <c:scaling>
          <c:orientation val="minMax"/>
          <c:max val="1400"/>
          <c:min val="600"/>
        </c:scaling>
        <c:delete val="0"/>
        <c:axPos val="b"/>
        <c:numFmt formatCode="General" sourceLinked="1"/>
        <c:majorTickMark val="cross"/>
        <c:minorTickMark val="cross"/>
        <c:tickLblPos val="nextTo"/>
        <c:crossAx val="251234560"/>
        <c:crosses val="autoZero"/>
        <c:crossBetween val="midCat"/>
        <c:majorUnit val="100"/>
        <c:minorUnit val="100"/>
      </c:valAx>
      <c:valAx>
        <c:axId val="251234560"/>
        <c:scaling>
          <c:orientation val="minMax"/>
          <c:max val="27"/>
          <c:min val="15"/>
        </c:scaling>
        <c:delete val="0"/>
        <c:axPos val="l"/>
        <c:majorGridlines/>
        <c:numFmt formatCode="&quot;$&quot;#,##0.00_);[Red]\(&quot;$&quot;#,##0.00\)" sourceLinked="1"/>
        <c:majorTickMark val="cross"/>
        <c:minorTickMark val="cross"/>
        <c:tickLblPos val="nextTo"/>
        <c:crossAx val="251233024"/>
        <c:crosses val="autoZero"/>
        <c:crossBetween val="midCat"/>
        <c:majorUnit val="2"/>
        <c:minorUnit val="2"/>
      </c:valAx>
    </c:plotArea>
    <c:legend>
      <c:legendPos val="r"/>
      <c:layout>
        <c:manualLayout>
          <c:xMode val="edge"/>
          <c:yMode val="edge"/>
          <c:x val="0.16309543616630232"/>
          <c:y val="6.5375604365243783E-2"/>
          <c:w val="0.67718788809935349"/>
          <c:h val="6.6896428522350934E-2"/>
        </c:manualLayout>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123825</xdr:rowOff>
    </xdr:from>
    <xdr:to>
      <xdr:col>11</xdr:col>
      <xdr:colOff>600075</xdr:colOff>
      <xdr:row>31</xdr:row>
      <xdr:rowOff>19050</xdr:rowOff>
    </xdr:to>
    <xdr:sp macro="" textlink="">
      <xdr:nvSpPr>
        <xdr:cNvPr id="2" name="TextBox 1"/>
        <xdr:cNvSpPr txBox="1"/>
      </xdr:nvSpPr>
      <xdr:spPr>
        <a:xfrm>
          <a:off x="19050" y="123825"/>
          <a:ext cx="7286625" cy="491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Assesment</a:t>
          </a:r>
          <a:r>
            <a:rPr lang="en-US" sz="1200" b="1" baseline="0"/>
            <a:t> 2.1 - Supply &amp; Demand</a:t>
          </a:r>
          <a:r>
            <a:rPr lang="en-US" sz="1200" baseline="0"/>
            <a:t>.  Two worksheets are provided. The sheet; Supply &amp; Demand Charts contains the charts from sheet 2.1 as image files that can be copied and inserted into other documents.  If students are unfamiliar with creating Scatter Plots (the chart used to show the Supply &amp; Demand curves) then you can direct them to this site to see an example:  (VIDEO LINK TO BE INSERTED HERE)</a:t>
          </a:r>
        </a:p>
        <a:p>
          <a:endParaRPr lang="en-US" sz="1200" baseline="0"/>
        </a:p>
        <a:p>
          <a:r>
            <a:rPr lang="en-US" sz="1200" b="1" baseline="0"/>
            <a:t>Sheet 2.1 Advanced Assessment (S&amp;D) </a:t>
          </a:r>
          <a:r>
            <a:rPr lang="en-US" sz="1200" baseline="0"/>
            <a:t>contains the solution for change in the break even point based on the Equilibrium Quantities. NOTE: Supply and Demand were projected on a per unit basis, not the package of 12 shown in the original break even. The very last step in comparing the two sales/price levels is to convert units into packages. </a:t>
          </a:r>
        </a:p>
        <a:p>
          <a:endParaRPr lang="en-US" sz="1200" baseline="0"/>
        </a:p>
        <a:p>
          <a:r>
            <a:rPr lang="en-US" sz="1200" b="1"/>
            <a:t>Assessment 12.3 - Outsourcing. </a:t>
          </a:r>
          <a:r>
            <a:rPr lang="en-US" sz="1200" b="0"/>
            <a:t>One</a:t>
          </a:r>
          <a:r>
            <a:rPr lang="en-US" sz="1200" b="0" baseline="0"/>
            <a:t> of the issues that students will need to address is the addition of cost if Wanda elects to outsource her production. The figures that are presented in the worksheet are a minimal level of analysis they should perform given the information in the question.  For a more in depth analysis, they can be given the Income Statement and asked to decide where Wanda could make cuts.  Usually they end up cutting labor. </a:t>
          </a:r>
          <a:endParaRPr 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13</xdr:row>
      <xdr:rowOff>71436</xdr:rowOff>
    </xdr:from>
    <xdr:to>
      <xdr:col>16</xdr:col>
      <xdr:colOff>152400</xdr:colOff>
      <xdr:row>26</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581024</xdr:colOff>
      <xdr:row>26</xdr:row>
      <xdr:rowOff>152400</xdr:rowOff>
    </xdr:from>
    <xdr:to>
      <xdr:col>16</xdr:col>
      <xdr:colOff>152400</xdr:colOff>
      <xdr:row>49</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609599</xdr:colOff>
      <xdr:row>0</xdr:row>
      <xdr:rowOff>47625</xdr:rowOff>
    </xdr:from>
    <xdr:to>
      <xdr:col>16</xdr:col>
      <xdr:colOff>114300</xdr:colOff>
      <xdr:row>12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9525</xdr:colOff>
      <xdr:row>13</xdr:row>
      <xdr:rowOff>19049</xdr:rowOff>
    </xdr:from>
    <xdr:to>
      <xdr:col>23</xdr:col>
      <xdr:colOff>142875</xdr:colOff>
      <xdr:row>25</xdr:row>
      <xdr:rowOff>142874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0</xdr:row>
      <xdr:rowOff>57150</xdr:rowOff>
    </xdr:from>
    <xdr:to>
      <xdr:col>23</xdr:col>
      <xdr:colOff>123826</xdr:colOff>
      <xdr:row>12</xdr:row>
      <xdr:rowOff>9525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19049</xdr:colOff>
      <xdr:row>27</xdr:row>
      <xdr:rowOff>19050</xdr:rowOff>
    </xdr:from>
    <xdr:to>
      <xdr:col>23</xdr:col>
      <xdr:colOff>238124</xdr:colOff>
      <xdr:row>49</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0</xdr:colOff>
      <xdr:row>0</xdr:row>
      <xdr:rowOff>0</xdr:rowOff>
    </xdr:from>
    <xdr:to>
      <xdr:col>30</xdr:col>
      <xdr:colOff>114301</xdr:colOff>
      <xdr:row>11</xdr:row>
      <xdr:rowOff>123825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0</xdr:colOff>
      <xdr:row>13</xdr:row>
      <xdr:rowOff>0</xdr:rowOff>
    </xdr:from>
    <xdr:to>
      <xdr:col>30</xdr:col>
      <xdr:colOff>133350</xdr:colOff>
      <xdr:row>25</xdr:row>
      <xdr:rowOff>123825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28576</xdr:colOff>
      <xdr:row>27</xdr:row>
      <xdr:rowOff>0</xdr:rowOff>
    </xdr:from>
    <xdr:to>
      <xdr:col>30</xdr:col>
      <xdr:colOff>276226</xdr:colOff>
      <xdr:row>49</xdr:row>
      <xdr:rowOff>57150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0</xdr:colOff>
      <xdr:row>0</xdr:row>
      <xdr:rowOff>0</xdr:rowOff>
    </xdr:from>
    <xdr:to>
      <xdr:col>37</xdr:col>
      <xdr:colOff>114301</xdr:colOff>
      <xdr:row>11</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0</xdr:colOff>
      <xdr:row>13</xdr:row>
      <xdr:rowOff>0</xdr:rowOff>
    </xdr:from>
    <xdr:to>
      <xdr:col>37</xdr:col>
      <xdr:colOff>133350</xdr:colOff>
      <xdr:row>25</xdr:row>
      <xdr:rowOff>123825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0</xdr:colOff>
      <xdr:row>27</xdr:row>
      <xdr:rowOff>0</xdr:rowOff>
    </xdr:from>
    <xdr:to>
      <xdr:col>37</xdr:col>
      <xdr:colOff>247650</xdr:colOff>
      <xdr:row>49</xdr:row>
      <xdr:rowOff>57150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47625</xdr:rowOff>
    </xdr:from>
    <xdr:to>
      <xdr:col>7</xdr:col>
      <xdr:colOff>146634</xdr:colOff>
      <xdr:row>22</xdr:row>
      <xdr:rowOff>122476</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1666875"/>
          <a:ext cx="3804234" cy="2017951"/>
        </a:xfrm>
        <a:prstGeom prst="rect">
          <a:avLst/>
        </a:prstGeom>
      </xdr:spPr>
    </xdr:pic>
    <xdr:clientData/>
  </xdr:twoCellAnchor>
  <xdr:twoCellAnchor editAs="oneCell">
    <xdr:from>
      <xdr:col>0</xdr:col>
      <xdr:colOff>600075</xdr:colOff>
      <xdr:row>24</xdr:row>
      <xdr:rowOff>9525</xdr:rowOff>
    </xdr:from>
    <xdr:to>
      <xdr:col>7</xdr:col>
      <xdr:colOff>118819</xdr:colOff>
      <xdr:row>37</xdr:row>
      <xdr:rowOff>22637</xdr:rowOff>
    </xdr:to>
    <xdr:pic>
      <xdr:nvPicPr>
        <xdr:cNvPr id="4" name="Picture 3"/>
        <xdr:cNvPicPr>
          <a:picLocks noChangeAspect="1"/>
        </xdr:cNvPicPr>
      </xdr:nvPicPr>
      <xdr:blipFill>
        <a:blip xmlns:r="http://schemas.openxmlformats.org/officeDocument/2006/relationships" r:embed="rId2"/>
        <a:stretch>
          <a:fillRect/>
        </a:stretch>
      </xdr:blipFill>
      <xdr:spPr>
        <a:xfrm>
          <a:off x="600075" y="3895725"/>
          <a:ext cx="3785944" cy="2118137"/>
        </a:xfrm>
        <a:prstGeom prst="rect">
          <a:avLst/>
        </a:prstGeom>
      </xdr:spPr>
    </xdr:pic>
    <xdr:clientData/>
  </xdr:twoCellAnchor>
  <xdr:twoCellAnchor>
    <xdr:from>
      <xdr:col>1</xdr:col>
      <xdr:colOff>1</xdr:colOff>
      <xdr:row>1</xdr:row>
      <xdr:rowOff>0</xdr:rowOff>
    </xdr:from>
    <xdr:to>
      <xdr:col>10</xdr:col>
      <xdr:colOff>590551</xdr:colOff>
      <xdr:row>7</xdr:row>
      <xdr:rowOff>104775</xdr:rowOff>
    </xdr:to>
    <xdr:sp macro="" textlink="">
      <xdr:nvSpPr>
        <xdr:cNvPr id="6" name="TextBox 5"/>
        <xdr:cNvSpPr txBox="1"/>
      </xdr:nvSpPr>
      <xdr:spPr>
        <a:xfrm>
          <a:off x="609601" y="161925"/>
          <a:ext cx="607695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latin typeface="Arial" panose="020B0604020202020204" pitchFamily="34" charset="0"/>
              <a:cs typeface="Arial" panose="020B0604020202020204" pitchFamily="34" charset="0"/>
            </a:rPr>
            <a:t>Equilibrium Points are as follows</a:t>
          </a:r>
          <a:r>
            <a:rPr lang="en-US" sz="1200" baseline="0">
              <a:latin typeface="Arial" panose="020B0604020202020204" pitchFamily="34" charset="0"/>
              <a:cs typeface="Arial" panose="020B0604020202020204" pitchFamily="34" charset="0"/>
            </a:rPr>
            <a:t>:</a:t>
          </a:r>
        </a:p>
        <a:p>
          <a:r>
            <a:rPr lang="en-US" sz="1200">
              <a:solidFill>
                <a:schemeClr val="dk1"/>
              </a:solidFill>
              <a:effectLst/>
              <a:latin typeface="Arial" panose="020B0604020202020204" pitchFamily="34" charset="0"/>
              <a:ea typeface="+mn-ea"/>
              <a:cs typeface="Arial" panose="020B0604020202020204" pitchFamily="34" charset="0"/>
            </a:rPr>
            <a:t>Chicken</a:t>
          </a:r>
          <a:r>
            <a:rPr lang="en-US" sz="1200" baseline="0">
              <a:solidFill>
                <a:schemeClr val="dk1"/>
              </a:solidFill>
              <a:effectLst/>
              <a:latin typeface="Arial" panose="020B0604020202020204" pitchFamily="34" charset="0"/>
              <a:ea typeface="+mn-ea"/>
              <a:cs typeface="Arial" panose="020B0604020202020204" pitchFamily="34" charset="0"/>
            </a:rPr>
            <a:t> Cuties: </a:t>
          </a:r>
          <a:r>
            <a:rPr lang="en-US" sz="1200" baseline="0">
              <a:latin typeface="Arial" panose="020B0604020202020204" pitchFamily="34" charset="0"/>
              <a:cs typeface="Arial" panose="020B0604020202020204" pitchFamily="34" charset="0"/>
            </a:rPr>
            <a:t>Price = $1.25 and Demand = 800</a:t>
          </a:r>
        </a:p>
        <a:p>
          <a:r>
            <a:rPr lang="en-US" sz="1200" baseline="0">
              <a:latin typeface="Arial" panose="020B0604020202020204" pitchFamily="34" charset="0"/>
              <a:cs typeface="Arial" panose="020B0604020202020204" pitchFamily="34" charset="0"/>
            </a:rPr>
            <a:t>Bison Bites: Price = $1.75 and Demand = 900</a:t>
          </a:r>
        </a:p>
        <a:p>
          <a:r>
            <a:rPr lang="en-US" sz="1200" baseline="0">
              <a:latin typeface="Arial" panose="020B0604020202020204" pitchFamily="34" charset="0"/>
              <a:cs typeface="Arial" panose="020B0604020202020204" pitchFamily="34" charset="0"/>
            </a:rPr>
            <a:t>Lamb Lovies: Price= $2.50 and Demand = 1200</a:t>
          </a:r>
        </a:p>
        <a:p>
          <a:r>
            <a:rPr lang="en-US" sz="1200" baseline="0">
              <a:latin typeface="Arial" panose="020B0604020202020204" pitchFamily="34" charset="0"/>
              <a:cs typeface="Arial" panose="020B0604020202020204" pitchFamily="34" charset="0"/>
            </a:rPr>
            <a:t>Party Pooch: Price = $22.00 and Demand = 1000</a:t>
          </a:r>
          <a:endParaRPr lang="en-US" sz="1200">
            <a:latin typeface="Arial" panose="020B0604020202020204" pitchFamily="34" charset="0"/>
            <a:cs typeface="Arial" panose="020B0604020202020204" pitchFamily="34" charset="0"/>
          </a:endParaRPr>
        </a:p>
      </xdr:txBody>
    </xdr:sp>
    <xdr:clientData/>
  </xdr:twoCellAnchor>
  <xdr:twoCellAnchor editAs="oneCell">
    <xdr:from>
      <xdr:col>0</xdr:col>
      <xdr:colOff>590550</xdr:colOff>
      <xdr:row>37</xdr:row>
      <xdr:rowOff>142875</xdr:rowOff>
    </xdr:from>
    <xdr:to>
      <xdr:col>7</xdr:col>
      <xdr:colOff>176356</xdr:colOff>
      <xdr:row>60</xdr:row>
      <xdr:rowOff>76517</xdr:rowOff>
    </xdr:to>
    <xdr:pic>
      <xdr:nvPicPr>
        <xdr:cNvPr id="7" name="Picture 6"/>
        <xdr:cNvPicPr>
          <a:picLocks noChangeAspect="1"/>
        </xdr:cNvPicPr>
      </xdr:nvPicPr>
      <xdr:blipFill>
        <a:blip xmlns:r="http://schemas.openxmlformats.org/officeDocument/2006/relationships" r:embed="rId3"/>
        <a:stretch>
          <a:fillRect/>
        </a:stretch>
      </xdr:blipFill>
      <xdr:spPr>
        <a:xfrm>
          <a:off x="590550" y="6134100"/>
          <a:ext cx="3853006" cy="3657917"/>
        </a:xfrm>
        <a:prstGeom prst="rect">
          <a:avLst/>
        </a:prstGeom>
      </xdr:spPr>
    </xdr:pic>
    <xdr:clientData/>
  </xdr:twoCellAnchor>
  <xdr:twoCellAnchor editAs="oneCell">
    <xdr:from>
      <xdr:col>8</xdr:col>
      <xdr:colOff>0</xdr:colOff>
      <xdr:row>10</xdr:row>
      <xdr:rowOff>104775</xdr:rowOff>
    </xdr:from>
    <xdr:to>
      <xdr:col>14</xdr:col>
      <xdr:colOff>122248</xdr:colOff>
      <xdr:row>22</xdr:row>
      <xdr:rowOff>100371</xdr:rowOff>
    </xdr:to>
    <xdr:pic>
      <xdr:nvPicPr>
        <xdr:cNvPr id="8" name="Picture 7"/>
        <xdr:cNvPicPr>
          <a:picLocks noChangeAspect="1"/>
        </xdr:cNvPicPr>
      </xdr:nvPicPr>
      <xdr:blipFill>
        <a:blip xmlns:r="http://schemas.openxmlformats.org/officeDocument/2006/relationships" r:embed="rId4"/>
        <a:stretch>
          <a:fillRect/>
        </a:stretch>
      </xdr:blipFill>
      <xdr:spPr>
        <a:xfrm>
          <a:off x="4876800" y="1724025"/>
          <a:ext cx="3779848" cy="1938696"/>
        </a:xfrm>
        <a:prstGeom prst="rect">
          <a:avLst/>
        </a:prstGeom>
      </xdr:spPr>
    </xdr:pic>
    <xdr:clientData/>
  </xdr:twoCellAnchor>
  <xdr:twoCellAnchor editAs="oneCell">
    <xdr:from>
      <xdr:col>8</xdr:col>
      <xdr:colOff>0</xdr:colOff>
      <xdr:row>24</xdr:row>
      <xdr:rowOff>0</xdr:rowOff>
    </xdr:from>
    <xdr:to>
      <xdr:col>14</xdr:col>
      <xdr:colOff>146634</xdr:colOff>
      <xdr:row>36</xdr:row>
      <xdr:rowOff>154106</xdr:rowOff>
    </xdr:to>
    <xdr:pic>
      <xdr:nvPicPr>
        <xdr:cNvPr id="9" name="Picture 8"/>
        <xdr:cNvPicPr>
          <a:picLocks noChangeAspect="1"/>
        </xdr:cNvPicPr>
      </xdr:nvPicPr>
      <xdr:blipFill>
        <a:blip xmlns:r="http://schemas.openxmlformats.org/officeDocument/2006/relationships" r:embed="rId5"/>
        <a:stretch>
          <a:fillRect/>
        </a:stretch>
      </xdr:blipFill>
      <xdr:spPr>
        <a:xfrm>
          <a:off x="4876800" y="3886200"/>
          <a:ext cx="3804234" cy="2097206"/>
        </a:xfrm>
        <a:prstGeom prst="rect">
          <a:avLst/>
        </a:prstGeom>
      </xdr:spPr>
    </xdr:pic>
    <xdr:clientData/>
  </xdr:twoCellAnchor>
  <xdr:twoCellAnchor editAs="oneCell">
    <xdr:from>
      <xdr:col>8</xdr:col>
      <xdr:colOff>0</xdr:colOff>
      <xdr:row>38</xdr:row>
      <xdr:rowOff>0</xdr:rowOff>
    </xdr:from>
    <xdr:to>
      <xdr:col>14</xdr:col>
      <xdr:colOff>231985</xdr:colOff>
      <xdr:row>60</xdr:row>
      <xdr:rowOff>65084</xdr:rowOff>
    </xdr:to>
    <xdr:pic>
      <xdr:nvPicPr>
        <xdr:cNvPr id="11" name="Picture 10"/>
        <xdr:cNvPicPr>
          <a:picLocks noChangeAspect="1"/>
        </xdr:cNvPicPr>
      </xdr:nvPicPr>
      <xdr:blipFill>
        <a:blip xmlns:r="http://schemas.openxmlformats.org/officeDocument/2006/relationships" r:embed="rId6"/>
        <a:stretch>
          <a:fillRect/>
        </a:stretch>
      </xdr:blipFill>
      <xdr:spPr>
        <a:xfrm>
          <a:off x="4876800" y="6153150"/>
          <a:ext cx="3889585" cy="3627434"/>
        </a:xfrm>
        <a:prstGeom prst="rect">
          <a:avLst/>
        </a:prstGeom>
      </xdr:spPr>
    </xdr:pic>
    <xdr:clientData/>
  </xdr:twoCellAnchor>
  <xdr:twoCellAnchor editAs="oneCell">
    <xdr:from>
      <xdr:col>15</xdr:col>
      <xdr:colOff>0</xdr:colOff>
      <xdr:row>10</xdr:row>
      <xdr:rowOff>104775</xdr:rowOff>
    </xdr:from>
    <xdr:to>
      <xdr:col>21</xdr:col>
      <xdr:colOff>128344</xdr:colOff>
      <xdr:row>22</xdr:row>
      <xdr:rowOff>100371</xdr:rowOff>
    </xdr:to>
    <xdr:pic>
      <xdr:nvPicPr>
        <xdr:cNvPr id="12" name="Picture 11"/>
        <xdr:cNvPicPr>
          <a:picLocks noChangeAspect="1"/>
        </xdr:cNvPicPr>
      </xdr:nvPicPr>
      <xdr:blipFill>
        <a:blip xmlns:r="http://schemas.openxmlformats.org/officeDocument/2006/relationships" r:embed="rId7"/>
        <a:stretch>
          <a:fillRect/>
        </a:stretch>
      </xdr:blipFill>
      <xdr:spPr>
        <a:xfrm>
          <a:off x="9144000" y="1724025"/>
          <a:ext cx="3785944" cy="1938696"/>
        </a:xfrm>
        <a:prstGeom prst="rect">
          <a:avLst/>
        </a:prstGeom>
      </xdr:spPr>
    </xdr:pic>
    <xdr:clientData/>
  </xdr:twoCellAnchor>
  <xdr:twoCellAnchor editAs="oneCell">
    <xdr:from>
      <xdr:col>15</xdr:col>
      <xdr:colOff>0</xdr:colOff>
      <xdr:row>24</xdr:row>
      <xdr:rowOff>0</xdr:rowOff>
    </xdr:from>
    <xdr:to>
      <xdr:col>21</xdr:col>
      <xdr:colOff>146634</xdr:colOff>
      <xdr:row>36</xdr:row>
      <xdr:rowOff>154106</xdr:rowOff>
    </xdr:to>
    <xdr:pic>
      <xdr:nvPicPr>
        <xdr:cNvPr id="14" name="Picture 13"/>
        <xdr:cNvPicPr>
          <a:picLocks noChangeAspect="1"/>
        </xdr:cNvPicPr>
      </xdr:nvPicPr>
      <xdr:blipFill>
        <a:blip xmlns:r="http://schemas.openxmlformats.org/officeDocument/2006/relationships" r:embed="rId8"/>
        <a:stretch>
          <a:fillRect/>
        </a:stretch>
      </xdr:blipFill>
      <xdr:spPr>
        <a:xfrm>
          <a:off x="9144000" y="3886200"/>
          <a:ext cx="3804234" cy="2097206"/>
        </a:xfrm>
        <a:prstGeom prst="rect">
          <a:avLst/>
        </a:prstGeom>
      </xdr:spPr>
    </xdr:pic>
    <xdr:clientData/>
  </xdr:twoCellAnchor>
  <xdr:twoCellAnchor editAs="oneCell">
    <xdr:from>
      <xdr:col>15</xdr:col>
      <xdr:colOff>0</xdr:colOff>
      <xdr:row>38</xdr:row>
      <xdr:rowOff>0</xdr:rowOff>
    </xdr:from>
    <xdr:to>
      <xdr:col>21</xdr:col>
      <xdr:colOff>256371</xdr:colOff>
      <xdr:row>60</xdr:row>
      <xdr:rowOff>65084</xdr:rowOff>
    </xdr:to>
    <xdr:pic>
      <xdr:nvPicPr>
        <xdr:cNvPr id="15" name="Picture 14"/>
        <xdr:cNvPicPr>
          <a:picLocks noChangeAspect="1"/>
        </xdr:cNvPicPr>
      </xdr:nvPicPr>
      <xdr:blipFill>
        <a:blip xmlns:r="http://schemas.openxmlformats.org/officeDocument/2006/relationships" r:embed="rId9"/>
        <a:stretch>
          <a:fillRect/>
        </a:stretch>
      </xdr:blipFill>
      <xdr:spPr>
        <a:xfrm>
          <a:off x="9144000" y="6153150"/>
          <a:ext cx="3913971" cy="3627434"/>
        </a:xfrm>
        <a:prstGeom prst="rect">
          <a:avLst/>
        </a:prstGeom>
      </xdr:spPr>
    </xdr:pic>
    <xdr:clientData/>
  </xdr:twoCellAnchor>
  <xdr:twoCellAnchor editAs="oneCell">
    <xdr:from>
      <xdr:col>22</xdr:col>
      <xdr:colOff>0</xdr:colOff>
      <xdr:row>10</xdr:row>
      <xdr:rowOff>142875</xdr:rowOff>
    </xdr:from>
    <xdr:to>
      <xdr:col>28</xdr:col>
      <xdr:colOff>128344</xdr:colOff>
      <xdr:row>22</xdr:row>
      <xdr:rowOff>138471</xdr:rowOff>
    </xdr:to>
    <xdr:pic>
      <xdr:nvPicPr>
        <xdr:cNvPr id="16" name="Picture 15"/>
        <xdr:cNvPicPr>
          <a:picLocks noChangeAspect="1"/>
        </xdr:cNvPicPr>
      </xdr:nvPicPr>
      <xdr:blipFill>
        <a:blip xmlns:r="http://schemas.openxmlformats.org/officeDocument/2006/relationships" r:embed="rId10"/>
        <a:stretch>
          <a:fillRect/>
        </a:stretch>
      </xdr:blipFill>
      <xdr:spPr>
        <a:xfrm>
          <a:off x="13411200" y="1762125"/>
          <a:ext cx="3785944" cy="1938696"/>
        </a:xfrm>
        <a:prstGeom prst="rect">
          <a:avLst/>
        </a:prstGeom>
      </xdr:spPr>
    </xdr:pic>
    <xdr:clientData/>
  </xdr:twoCellAnchor>
  <xdr:twoCellAnchor editAs="oneCell">
    <xdr:from>
      <xdr:col>22</xdr:col>
      <xdr:colOff>0</xdr:colOff>
      <xdr:row>24</xdr:row>
      <xdr:rowOff>0</xdr:rowOff>
    </xdr:from>
    <xdr:to>
      <xdr:col>28</xdr:col>
      <xdr:colOff>146634</xdr:colOff>
      <xdr:row>36</xdr:row>
      <xdr:rowOff>154106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13411200" y="3886200"/>
          <a:ext cx="3804234" cy="2097206"/>
        </a:xfrm>
        <a:prstGeom prst="rect">
          <a:avLst/>
        </a:prstGeom>
      </xdr:spPr>
    </xdr:pic>
    <xdr:clientData/>
  </xdr:twoCellAnchor>
  <xdr:twoCellAnchor editAs="oneCell">
    <xdr:from>
      <xdr:col>22</xdr:col>
      <xdr:colOff>0</xdr:colOff>
      <xdr:row>38</xdr:row>
      <xdr:rowOff>0</xdr:rowOff>
    </xdr:from>
    <xdr:to>
      <xdr:col>28</xdr:col>
      <xdr:colOff>262468</xdr:colOff>
      <xdr:row>60</xdr:row>
      <xdr:rowOff>83374</xdr:rowOff>
    </xdr:to>
    <xdr:pic>
      <xdr:nvPicPr>
        <xdr:cNvPr id="18" name="Picture 17"/>
        <xdr:cNvPicPr>
          <a:picLocks noChangeAspect="1"/>
        </xdr:cNvPicPr>
      </xdr:nvPicPr>
      <xdr:blipFill>
        <a:blip xmlns:r="http://schemas.openxmlformats.org/officeDocument/2006/relationships" r:embed="rId12"/>
        <a:stretch>
          <a:fillRect/>
        </a:stretch>
      </xdr:blipFill>
      <xdr:spPr>
        <a:xfrm>
          <a:off x="13411200" y="6153150"/>
          <a:ext cx="3920068" cy="36457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28</xdr:row>
      <xdr:rowOff>161926</xdr:rowOff>
    </xdr:from>
    <xdr:to>
      <xdr:col>7</xdr:col>
      <xdr:colOff>542925</xdr:colOff>
      <xdr:row>32</xdr:row>
      <xdr:rowOff>38100</xdr:rowOff>
    </xdr:to>
    <xdr:sp macro="" textlink="">
      <xdr:nvSpPr>
        <xdr:cNvPr id="3" name="TextBox 2"/>
        <xdr:cNvSpPr txBox="1"/>
      </xdr:nvSpPr>
      <xdr:spPr>
        <a:xfrm>
          <a:off x="28575" y="5343526"/>
          <a:ext cx="6953250" cy="600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a:t>
          </a:r>
          <a:r>
            <a:rPr lang="en-US" sz="1100" baseline="0">
              <a:latin typeface="Arial" panose="020B0604020202020204" pitchFamily="34" charset="0"/>
              <a:cs typeface="Arial" panose="020B0604020202020204" pitchFamily="34" charset="0"/>
            </a:rPr>
            <a:t> Wanda produced at the Equilibrium Points, her revised Break Even point would be $2,804.22</a:t>
          </a:r>
        </a:p>
        <a:p>
          <a:r>
            <a:rPr lang="en-US" sz="1100" baseline="0">
              <a:latin typeface="Arial" panose="020B0604020202020204" pitchFamily="34" charset="0"/>
              <a:cs typeface="Arial" panose="020B0604020202020204" pitchFamily="34" charset="0"/>
            </a:rPr>
            <a:t>In order to determine the impact on quantities of each product produced, Wanda will now need to use her adjusted weighted sales volume that was calculated based on the supply and demand quantities.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76200</xdr:colOff>
      <xdr:row>1</xdr:row>
      <xdr:rowOff>104775</xdr:rowOff>
    </xdr:from>
    <xdr:to>
      <xdr:col>8</xdr:col>
      <xdr:colOff>9525</xdr:colOff>
      <xdr:row>6</xdr:row>
      <xdr:rowOff>1</xdr:rowOff>
    </xdr:to>
    <xdr:sp macro="" textlink="">
      <xdr:nvSpPr>
        <xdr:cNvPr id="4" name="TextBox 3"/>
        <xdr:cNvSpPr txBox="1"/>
      </xdr:nvSpPr>
      <xdr:spPr>
        <a:xfrm>
          <a:off x="76200" y="104775"/>
          <a:ext cx="6915150"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 order to</a:t>
          </a:r>
          <a:r>
            <a:rPr lang="en-US" sz="1100" baseline="0">
              <a:latin typeface="Arial" panose="020B0604020202020204" pitchFamily="34" charset="0"/>
              <a:cs typeface="Arial" panose="020B0604020202020204" pitchFamily="34" charset="0"/>
            </a:rPr>
            <a:t> determine the quantities of each product for her break-even, Wanda must re-calculate her contribution margin on each product. The price was driven up or down based on market forces,  but her cost of goods (cost to produce the treats) remained unchanged. This is calculated using the expense figures shown on the right. The Price and Quantities Demanded are shown in the table below</a:t>
          </a:r>
          <a:endParaRPr lang="en-US" sz="1100">
            <a:latin typeface="Arial" panose="020B0604020202020204" pitchFamily="34" charset="0"/>
            <a:cs typeface="Arial" panose="020B0604020202020204" pitchFamily="34" charset="0"/>
          </a:endParaRPr>
        </a:p>
      </xdr:txBody>
    </xdr:sp>
    <xdr:clientData/>
  </xdr:twoCellAnchor>
  <xdr:twoCellAnchor>
    <xdr:from>
      <xdr:col>8</xdr:col>
      <xdr:colOff>0</xdr:colOff>
      <xdr:row>16</xdr:row>
      <xdr:rowOff>180975</xdr:rowOff>
    </xdr:from>
    <xdr:to>
      <xdr:col>12</xdr:col>
      <xdr:colOff>200025</xdr:colOff>
      <xdr:row>23</xdr:row>
      <xdr:rowOff>9525</xdr:rowOff>
    </xdr:to>
    <xdr:sp macro="" textlink="">
      <xdr:nvSpPr>
        <xdr:cNvPr id="5" name="TextBox 4"/>
        <xdr:cNvSpPr txBox="1"/>
      </xdr:nvSpPr>
      <xdr:spPr>
        <a:xfrm>
          <a:off x="7210425" y="3133725"/>
          <a:ext cx="32670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Arial" panose="020B0604020202020204" pitchFamily="34" charset="0"/>
              <a:cs typeface="Arial" panose="020B0604020202020204" pitchFamily="34" charset="0"/>
            </a:rPr>
            <a:t>% of Sales is recalculated</a:t>
          </a:r>
          <a:r>
            <a:rPr lang="en-US" sz="1100">
              <a:latin typeface="Arial" panose="020B0604020202020204" pitchFamily="34" charset="0"/>
              <a:cs typeface="Arial" panose="020B0604020202020204" pitchFamily="34" charset="0"/>
            </a:rPr>
            <a:t> to reflect new quantities</a:t>
          </a:r>
          <a:r>
            <a:rPr lang="en-US" sz="1100" baseline="0">
              <a:latin typeface="Arial" panose="020B0604020202020204" pitchFamily="34" charset="0"/>
              <a:cs typeface="Arial" panose="020B0604020202020204" pitchFamily="34" charset="0"/>
            </a:rPr>
            <a:t> demanded and supplied as follows: </a:t>
          </a:r>
        </a:p>
        <a:p>
          <a:pPr algn="ctr"/>
          <a:r>
            <a:rPr lang="en-US" sz="1100" baseline="0">
              <a:latin typeface="Arial" panose="020B0604020202020204" pitchFamily="34" charset="0"/>
              <a:cs typeface="Arial" panose="020B0604020202020204" pitchFamily="34" charset="0"/>
            </a:rPr>
            <a:t>Party Pooch = 1000/3900 = 26%</a:t>
          </a:r>
        </a:p>
        <a:p>
          <a:pPr algn="ctr"/>
          <a:r>
            <a:rPr lang="en-US" sz="1100" baseline="0">
              <a:latin typeface="Arial" panose="020B0604020202020204" pitchFamily="34" charset="0"/>
              <a:cs typeface="Arial" panose="020B0604020202020204" pitchFamily="34" charset="0"/>
            </a:rPr>
            <a:t>Chicken Cuties = 800/3900 = 21%</a:t>
          </a:r>
        </a:p>
        <a:p>
          <a:pPr algn="ctr"/>
          <a:r>
            <a:rPr lang="en-US" sz="1100" baseline="0">
              <a:latin typeface="Arial" panose="020B0604020202020204" pitchFamily="34" charset="0"/>
              <a:cs typeface="Arial" panose="020B0604020202020204" pitchFamily="34" charset="0"/>
            </a:rPr>
            <a:t>Bison Bites = 900/3900 = 23%</a:t>
          </a:r>
        </a:p>
        <a:p>
          <a:pPr algn="ctr"/>
          <a:r>
            <a:rPr lang="en-US" sz="1100" baseline="0">
              <a:latin typeface="Arial" panose="020B0604020202020204" pitchFamily="34" charset="0"/>
              <a:cs typeface="Arial" panose="020B0604020202020204" pitchFamily="34" charset="0"/>
            </a:rPr>
            <a:t>Lamb Lovies = 1200/3900 = 31%</a:t>
          </a:r>
          <a:endParaRPr lang="en-US" sz="1100">
            <a:latin typeface="Arial" panose="020B0604020202020204" pitchFamily="34" charset="0"/>
            <a:cs typeface="Arial" panose="020B0604020202020204" pitchFamily="34" charset="0"/>
          </a:endParaRPr>
        </a:p>
      </xdr:txBody>
    </xdr:sp>
    <xdr:clientData/>
  </xdr:twoCellAnchor>
  <xdr:twoCellAnchor>
    <xdr:from>
      <xdr:col>8</xdr:col>
      <xdr:colOff>19050</xdr:colOff>
      <xdr:row>28</xdr:row>
      <xdr:rowOff>161925</xdr:rowOff>
    </xdr:from>
    <xdr:to>
      <xdr:col>13</xdr:col>
      <xdr:colOff>590550</xdr:colOff>
      <xdr:row>36</xdr:row>
      <xdr:rowOff>0</xdr:rowOff>
    </xdr:to>
    <mc:AlternateContent xmlns:mc="http://schemas.openxmlformats.org/markup-compatibility/2006" xmlns:a14="http://schemas.microsoft.com/office/drawing/2010/main">
      <mc:Choice Requires="a14">
        <xdr:sp macro="" textlink="">
          <xdr:nvSpPr>
            <xdr:cNvPr id="6" name="TextBox 5"/>
            <xdr:cNvSpPr txBox="1"/>
          </xdr:nvSpPr>
          <xdr:spPr>
            <a:xfrm>
              <a:off x="7534275" y="5343525"/>
              <a:ext cx="424815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To calculate</a:t>
              </a:r>
              <a:r>
                <a:rPr lang="en-US" sz="1100" baseline="0">
                  <a:latin typeface="Arial" panose="020B0604020202020204" pitchFamily="34" charset="0"/>
                  <a:cs typeface="Arial" panose="020B0604020202020204" pitchFamily="34" charset="0"/>
                </a:rPr>
                <a:t> Monthy Breakeven in $:  Breakeven x  % of Sales  Shown as follows:</a:t>
              </a:r>
            </a:p>
            <a:p>
              <a:pPr/>
              <a14:m>
                <m:oMathPara xmlns:m="http://schemas.openxmlformats.org/officeDocument/2006/math">
                  <m:oMathParaPr>
                    <m:jc m:val="centerGroup"/>
                  </m:oMathParaPr>
                  <m:oMath xmlns:m="http://schemas.openxmlformats.org/officeDocument/2006/math">
                    <m:r>
                      <a:rPr lang="en-US" sz="1100" b="0" i="1">
                        <a:latin typeface="Cambria Math"/>
                        <a:cs typeface="Arial" panose="020B0604020202020204" pitchFamily="34" charset="0"/>
                      </a:rPr>
                      <m:t>𝑃𝑎𝑟𝑡𝑦</m:t>
                    </m:r>
                    <m:r>
                      <a:rPr lang="en-US" sz="1100" b="0" i="1">
                        <a:latin typeface="Cambria Math"/>
                        <a:cs typeface="Arial" panose="020B0604020202020204" pitchFamily="34" charset="0"/>
                      </a:rPr>
                      <m:t> </m:t>
                    </m:r>
                    <m:r>
                      <a:rPr lang="en-US" sz="1100" b="0" i="1">
                        <a:latin typeface="Cambria Math"/>
                        <a:cs typeface="Arial" panose="020B0604020202020204" pitchFamily="34" charset="0"/>
                      </a:rPr>
                      <m:t>𝑃𝑜𝑜𝑐h</m:t>
                    </m:r>
                    <m:r>
                      <a:rPr lang="en-US" sz="1100" b="0" i="1">
                        <a:latin typeface="Cambria Math"/>
                        <a:cs typeface="Arial" panose="020B0604020202020204" pitchFamily="34" charset="0"/>
                      </a:rPr>
                      <m:t>= </m:t>
                    </m:r>
                    <m:d>
                      <m:dPr>
                        <m:ctrlPr>
                          <a:rPr lang="en-US" sz="1100" b="0" i="1">
                            <a:latin typeface="Cambria Math"/>
                            <a:cs typeface="Arial" panose="020B0604020202020204" pitchFamily="34" charset="0"/>
                          </a:rPr>
                        </m:ctrlPr>
                      </m:dPr>
                      <m:e>
                        <m:r>
                          <a:rPr lang="en-US" sz="1100" b="0" i="1">
                            <a:latin typeface="Cambria Math"/>
                            <a:cs typeface="Arial" panose="020B0604020202020204" pitchFamily="34" charset="0"/>
                          </a:rPr>
                          <m:t>$2,804.22 </m:t>
                        </m:r>
                        <m:r>
                          <a:rPr lang="en-US" sz="1100" b="0" i="1">
                            <a:latin typeface="Cambria Math"/>
                            <a:cs typeface="Arial" panose="020B0604020202020204" pitchFamily="34" charset="0"/>
                          </a:rPr>
                          <m:t>𝑥</m:t>
                        </m:r>
                        <m:r>
                          <a:rPr lang="en-US" sz="1100" b="0" i="1">
                            <a:latin typeface="Cambria Math"/>
                            <a:cs typeface="Arial" panose="020B0604020202020204" pitchFamily="34" charset="0"/>
                          </a:rPr>
                          <m:t> .26)=$719.03</m:t>
                        </m:r>
                      </m:e>
                    </m:d>
                  </m:oMath>
                </m:oMathPara>
              </a14:m>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To convert Monthly</a:t>
              </a:r>
              <a:r>
                <a:rPr lang="en-US" sz="1100" baseline="0">
                  <a:latin typeface="Arial" panose="020B0604020202020204" pitchFamily="34" charset="0"/>
                  <a:cs typeface="Arial" panose="020B0604020202020204" pitchFamily="34" charset="0"/>
                </a:rPr>
                <a:t> in Dollars to Units, divide Monthly Dollars by Sales Price. Shown as follows: </a:t>
              </a:r>
            </a:p>
            <a:p>
              <a:pPr/>
              <a14:m>
                <m:oMathPara xmlns:m="http://schemas.openxmlformats.org/officeDocument/2006/math">
                  <m:oMathParaPr>
                    <m:jc m:val="centerGroup"/>
                  </m:oMathParaPr>
                  <m:oMath xmlns:m="http://schemas.openxmlformats.org/officeDocument/2006/math">
                    <m:r>
                      <a:rPr lang="en-US" sz="1100" b="0" i="1">
                        <a:latin typeface="Cambria Math"/>
                        <a:cs typeface="Arial" panose="020B0604020202020204" pitchFamily="34" charset="0"/>
                      </a:rPr>
                      <m:t>𝑃𝑎𝑟𝑡𝑦</m:t>
                    </m:r>
                    <m:r>
                      <a:rPr lang="en-US" sz="1100" b="0" i="1">
                        <a:latin typeface="Cambria Math"/>
                        <a:cs typeface="Arial" panose="020B0604020202020204" pitchFamily="34" charset="0"/>
                      </a:rPr>
                      <m:t> </m:t>
                    </m:r>
                    <m:r>
                      <a:rPr lang="en-US" sz="1100" b="0" i="1">
                        <a:latin typeface="Cambria Math"/>
                        <a:cs typeface="Arial" panose="020B0604020202020204" pitchFamily="34" charset="0"/>
                      </a:rPr>
                      <m:t>𝑃𝑜𝑜𝑐h</m:t>
                    </m:r>
                    <m:r>
                      <a:rPr lang="en-US" sz="1100" b="0" i="1">
                        <a:latin typeface="Cambria Math"/>
                        <a:cs typeface="Arial" panose="020B0604020202020204" pitchFamily="34" charset="0"/>
                      </a:rPr>
                      <m:t>= </m:t>
                    </m:r>
                    <m:f>
                      <m:fPr>
                        <m:ctrlPr>
                          <a:rPr lang="en-US" sz="1100" b="0" i="1">
                            <a:latin typeface="Cambria Math"/>
                            <a:cs typeface="Arial" panose="020B0604020202020204" pitchFamily="34" charset="0"/>
                          </a:rPr>
                        </m:ctrlPr>
                      </m:fPr>
                      <m:num>
                        <m:r>
                          <a:rPr lang="en-US" sz="1100" b="0" i="1">
                            <a:latin typeface="Cambria Math"/>
                            <a:cs typeface="Arial" panose="020B0604020202020204" pitchFamily="34" charset="0"/>
                          </a:rPr>
                          <m:t>$719.03</m:t>
                        </m:r>
                      </m:num>
                      <m:den>
                        <m:r>
                          <a:rPr lang="en-US" sz="1100" b="0" i="1">
                            <a:latin typeface="Cambria Math"/>
                            <a:cs typeface="Arial" panose="020B0604020202020204" pitchFamily="34" charset="0"/>
                          </a:rPr>
                          <m:t>$22.00</m:t>
                        </m:r>
                      </m:den>
                    </m:f>
                    <m:r>
                      <a:rPr lang="en-US" sz="1100" b="0" i="1">
                        <a:latin typeface="Cambria Math"/>
                        <a:cs typeface="Arial" panose="020B0604020202020204" pitchFamily="34" charset="0"/>
                      </a:rPr>
                      <m:t>=33 </m:t>
                    </m:r>
                    <m:r>
                      <a:rPr lang="en-US" sz="1100" b="0" i="1">
                        <a:latin typeface="Cambria Math"/>
                        <a:cs typeface="Arial" panose="020B0604020202020204" pitchFamily="34" charset="0"/>
                      </a:rPr>
                      <m:t>𝑈𝑛𝑖𝑡𝑠</m:t>
                    </m:r>
                  </m:oMath>
                </m:oMathPara>
              </a14:m>
              <a:endParaRPr lang="en-US" sz="1100">
                <a:latin typeface="Arial" panose="020B0604020202020204" pitchFamily="34" charset="0"/>
                <a:cs typeface="Arial" panose="020B0604020202020204" pitchFamily="34" charset="0"/>
              </a:endParaRPr>
            </a:p>
          </xdr:txBody>
        </xdr:sp>
      </mc:Choice>
      <mc:Fallback xmlns="">
        <xdr:sp macro="" textlink="">
          <xdr:nvSpPr>
            <xdr:cNvPr id="6" name="TextBox 5"/>
            <xdr:cNvSpPr txBox="1"/>
          </xdr:nvSpPr>
          <xdr:spPr>
            <a:xfrm>
              <a:off x="7534275" y="5343525"/>
              <a:ext cx="424815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To calculate</a:t>
              </a:r>
              <a:r>
                <a:rPr lang="en-US" sz="1100" baseline="0">
                  <a:latin typeface="Arial" panose="020B0604020202020204" pitchFamily="34" charset="0"/>
                  <a:cs typeface="Arial" panose="020B0604020202020204" pitchFamily="34" charset="0"/>
                </a:rPr>
                <a:t> Monthy Breakeven in $:  Breakeven x  % of Sales  Shown as follows:</a:t>
              </a:r>
            </a:p>
            <a:p>
              <a:r>
                <a:rPr lang="en-US" sz="1100" b="0" i="0">
                  <a:latin typeface="Cambria Math"/>
                  <a:cs typeface="Arial" panose="020B0604020202020204" pitchFamily="34" charset="0"/>
                </a:rPr>
                <a:t>𝑃𝑎𝑟𝑡𝑦 𝑃𝑜𝑜𝑐ℎ= ($2,804.22 𝑥 .26)=$719.03)</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To convert Monthly</a:t>
              </a:r>
              <a:r>
                <a:rPr lang="en-US" sz="1100" baseline="0">
                  <a:latin typeface="Arial" panose="020B0604020202020204" pitchFamily="34" charset="0"/>
                  <a:cs typeface="Arial" panose="020B0604020202020204" pitchFamily="34" charset="0"/>
                </a:rPr>
                <a:t> in Dollars to Units, divide Monthly Dollars by Sales Price. Shown as follows: </a:t>
              </a:r>
            </a:p>
            <a:p>
              <a:r>
                <a:rPr lang="en-US" sz="1100" b="0" i="0">
                  <a:latin typeface="Cambria Math"/>
                  <a:cs typeface="Arial" panose="020B0604020202020204" pitchFamily="34" charset="0"/>
                </a:rPr>
                <a:t>𝑃𝑎𝑟𝑡𝑦 𝑃𝑜𝑜𝑐ℎ=  $719.03/$22.00=33 𝑈𝑛𝑖𝑡𝑠</a:t>
              </a:r>
              <a:endParaRPr lang="en-US" sz="1100">
                <a:latin typeface="Arial" panose="020B0604020202020204" pitchFamily="34" charset="0"/>
                <a:cs typeface="Arial" panose="020B0604020202020204" pitchFamily="34" charset="0"/>
              </a:endParaRPr>
            </a:p>
          </xdr:txBody>
        </xdr:sp>
      </mc:Fallback>
    </mc:AlternateContent>
    <xdr:clientData/>
  </xdr:twoCellAnchor>
  <xdr:twoCellAnchor>
    <xdr:from>
      <xdr:col>0</xdr:col>
      <xdr:colOff>38100</xdr:colOff>
      <xdr:row>37</xdr:row>
      <xdr:rowOff>28576</xdr:rowOff>
    </xdr:from>
    <xdr:to>
      <xdr:col>7</xdr:col>
      <xdr:colOff>752475</xdr:colOff>
      <xdr:row>42</xdr:row>
      <xdr:rowOff>142875</xdr:rowOff>
    </xdr:to>
    <xdr:sp macro="" textlink="">
      <xdr:nvSpPr>
        <xdr:cNvPr id="7" name="TextBox 6"/>
        <xdr:cNvSpPr txBox="1"/>
      </xdr:nvSpPr>
      <xdr:spPr>
        <a:xfrm>
          <a:off x="38100" y="7543801"/>
          <a:ext cx="7458075" cy="94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Wanda produced</a:t>
          </a:r>
          <a:r>
            <a:rPr lang="en-US" sz="1100" baseline="0">
              <a:latin typeface="Arial" panose="020B0604020202020204" pitchFamily="34" charset="0"/>
              <a:cs typeface="Arial" panose="020B0604020202020204" pitchFamily="34" charset="0"/>
            </a:rPr>
            <a:t> at the Equilibrium Points, she would shift production and her sales mix would be as shown in the table above. But, this is for single treats (except for the Party Pooch which is only priced as an assortment of the other 3 flavors). She can't compare her per unit break-even to what she had before until she converts these into "packages" of biscuits! So, for the Cuties, Bites and Lovies we will divide those units up into packages of 12 and have the following as a new break even quantities:</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28575</xdr:colOff>
      <xdr:row>48</xdr:row>
      <xdr:rowOff>28574</xdr:rowOff>
    </xdr:from>
    <xdr:to>
      <xdr:col>7</xdr:col>
      <xdr:colOff>762000</xdr:colOff>
      <xdr:row>51</xdr:row>
      <xdr:rowOff>161924</xdr:rowOff>
    </xdr:to>
    <xdr:sp macro="" textlink="">
      <xdr:nvSpPr>
        <xdr:cNvPr id="8" name="TextBox 7"/>
        <xdr:cNvSpPr txBox="1"/>
      </xdr:nvSpPr>
      <xdr:spPr>
        <a:xfrm>
          <a:off x="28575" y="9601199"/>
          <a:ext cx="7524750" cy="619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So,</a:t>
          </a:r>
          <a:r>
            <a:rPr lang="en-US" sz="1100" baseline="0">
              <a:latin typeface="Arial" panose="020B0604020202020204" pitchFamily="34" charset="0"/>
              <a:cs typeface="Arial" panose="020B0604020202020204" pitchFamily="34" charset="0"/>
            </a:rPr>
            <a:t> how does this compare to what she was selling when she set the price instead of letting the "market" set the price? Both represented "break even quantities" but we see a shift in the demand away from the Party Pooch to Bison Bites and Lamb Lovies. These are her two most expensive treats. Demand for Cuties is relatively unchanged. </a:t>
          </a:r>
          <a:endParaRPr lang="en-US"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19050</xdr:rowOff>
    </xdr:from>
    <xdr:to>
      <xdr:col>8</xdr:col>
      <xdr:colOff>0</xdr:colOff>
      <xdr:row>4</xdr:row>
      <xdr:rowOff>123825</xdr:rowOff>
    </xdr:to>
    <xdr:sp macro="" textlink="">
      <xdr:nvSpPr>
        <xdr:cNvPr id="5" name="TextBox 4"/>
        <xdr:cNvSpPr txBox="1"/>
      </xdr:nvSpPr>
      <xdr:spPr>
        <a:xfrm>
          <a:off x="38100" y="19050"/>
          <a:ext cx="53530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Wanda changes</a:t>
          </a:r>
          <a:r>
            <a:rPr lang="en-US" sz="1100" baseline="0">
              <a:latin typeface="Arial" panose="020B0604020202020204" pitchFamily="34" charset="0"/>
              <a:cs typeface="Arial" panose="020B0604020202020204" pitchFamily="34" charset="0"/>
            </a:rPr>
            <a:t> her prices to reflect the Supply and Demand Equilibrium point for each product, then her  product mix will change as well. We will hold her expenses steady for this analysis and only change quantity demanded/supplied at the equilibrium price.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47625</xdr:colOff>
      <xdr:row>21</xdr:row>
      <xdr:rowOff>38100</xdr:rowOff>
    </xdr:from>
    <xdr:to>
      <xdr:col>7</xdr:col>
      <xdr:colOff>409575</xdr:colOff>
      <xdr:row>24</xdr:row>
      <xdr:rowOff>85725</xdr:rowOff>
    </xdr:to>
    <xdr:sp macro="" textlink="">
      <xdr:nvSpPr>
        <xdr:cNvPr id="6" name="TextBox 5"/>
        <xdr:cNvSpPr txBox="1"/>
      </xdr:nvSpPr>
      <xdr:spPr>
        <a:xfrm>
          <a:off x="47625" y="3933825"/>
          <a:ext cx="61341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The table below represents</a:t>
          </a:r>
          <a:r>
            <a:rPr lang="en-US" sz="1100" baseline="0">
              <a:latin typeface="Arial" panose="020B0604020202020204" pitchFamily="34" charset="0"/>
              <a:cs typeface="Arial" panose="020B0604020202020204" pitchFamily="34" charset="0"/>
            </a:rPr>
            <a:t> Wanda's sales mix and pricing before she receieved the information on supply and demand. These are the figures that are used to project her Gross Income and Net Income  "before"  - </a:t>
          </a:r>
          <a:r>
            <a:rPr lang="en-US" sz="1100" b="1" baseline="0">
              <a:latin typeface="Arial" panose="020B0604020202020204" pitchFamily="34" charset="0"/>
              <a:cs typeface="Arial" panose="020B0604020202020204" pitchFamily="34" charset="0"/>
            </a:rPr>
            <a:t>total number of units sold = 4,650 </a:t>
          </a:r>
          <a:endParaRPr lang="en-US" sz="1100" b="1">
            <a:latin typeface="Arial" panose="020B0604020202020204" pitchFamily="34" charset="0"/>
            <a:cs typeface="Arial" panose="020B0604020202020204" pitchFamily="34" charset="0"/>
          </a:endParaRPr>
        </a:p>
      </xdr:txBody>
    </xdr:sp>
    <xdr:clientData/>
  </xdr:twoCellAnchor>
  <xdr:twoCellAnchor>
    <xdr:from>
      <xdr:col>0</xdr:col>
      <xdr:colOff>0</xdr:colOff>
      <xdr:row>34</xdr:row>
      <xdr:rowOff>0</xdr:rowOff>
    </xdr:from>
    <xdr:to>
      <xdr:col>7</xdr:col>
      <xdr:colOff>361950</xdr:colOff>
      <xdr:row>37</xdr:row>
      <xdr:rowOff>28575</xdr:rowOff>
    </xdr:to>
    <xdr:sp macro="" textlink="">
      <xdr:nvSpPr>
        <xdr:cNvPr id="10" name="TextBox 9"/>
        <xdr:cNvSpPr txBox="1"/>
      </xdr:nvSpPr>
      <xdr:spPr>
        <a:xfrm>
          <a:off x="0" y="6324600"/>
          <a:ext cx="61341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The table below represents</a:t>
          </a:r>
          <a:r>
            <a:rPr lang="en-US" sz="1100" baseline="0">
              <a:latin typeface="Arial" panose="020B0604020202020204" pitchFamily="34" charset="0"/>
              <a:cs typeface="Arial" panose="020B0604020202020204" pitchFamily="34" charset="0"/>
            </a:rPr>
            <a:t> Wanda's sales mix and pricing AFTER she receieved the information on supply and demand. These are the figures that are used to project her Gross Income and Net Income  "before"  - </a:t>
          </a:r>
          <a:r>
            <a:rPr lang="en-US" sz="1100" b="1" baseline="0">
              <a:latin typeface="Arial" panose="020B0604020202020204" pitchFamily="34" charset="0"/>
              <a:cs typeface="Arial" panose="020B0604020202020204" pitchFamily="34" charset="0"/>
            </a:rPr>
            <a:t>total number of units sold = 4,650 </a:t>
          </a:r>
          <a:endParaRPr lang="en-US" sz="1100" b="1">
            <a:latin typeface="Arial" panose="020B0604020202020204" pitchFamily="34" charset="0"/>
            <a:cs typeface="Arial" panose="020B0604020202020204" pitchFamily="34" charset="0"/>
          </a:endParaRPr>
        </a:p>
      </xdr:txBody>
    </xdr:sp>
    <xdr:clientData/>
  </xdr:twoCellAnchor>
  <xdr:twoCellAnchor>
    <xdr:from>
      <xdr:col>0</xdr:col>
      <xdr:colOff>0</xdr:colOff>
      <xdr:row>44</xdr:row>
      <xdr:rowOff>123825</xdr:rowOff>
    </xdr:from>
    <xdr:to>
      <xdr:col>3</xdr:col>
      <xdr:colOff>514350</xdr:colOff>
      <xdr:row>49</xdr:row>
      <xdr:rowOff>57150</xdr:rowOff>
    </xdr:to>
    <xdr:sp macro="" textlink="">
      <xdr:nvSpPr>
        <xdr:cNvPr id="11" name="TextBox 10"/>
        <xdr:cNvSpPr txBox="1"/>
      </xdr:nvSpPr>
      <xdr:spPr>
        <a:xfrm>
          <a:off x="0" y="8343900"/>
          <a:ext cx="37528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latin typeface="Arial" panose="020B0604020202020204" pitchFamily="34" charset="0"/>
              <a:cs typeface="Arial" panose="020B0604020202020204" pitchFamily="34" charset="0"/>
            </a:rPr>
            <a:t>In order to get</a:t>
          </a:r>
          <a:r>
            <a:rPr lang="en-US" sz="1100" b="1" i="1" baseline="0">
              <a:latin typeface="Arial" panose="020B0604020202020204" pitchFamily="34" charset="0"/>
              <a:cs typeface="Arial" panose="020B0604020202020204" pitchFamily="34" charset="0"/>
            </a:rPr>
            <a:t> Sales Price the per unit price/cost must be multiplied by 12 for the Cuties, Bites and Lovies! Remember  her per unit COGS did not change! </a:t>
          </a:r>
          <a:endParaRPr lang="en-US" sz="1100" b="1" i="1">
            <a:latin typeface="Arial" panose="020B0604020202020204" pitchFamily="34" charset="0"/>
            <a:cs typeface="Arial" panose="020B0604020202020204" pitchFamily="34" charset="0"/>
          </a:endParaRPr>
        </a:p>
      </xdr:txBody>
    </xdr:sp>
    <xdr:clientData/>
  </xdr:twoCellAnchor>
  <xdr:twoCellAnchor>
    <xdr:from>
      <xdr:col>10</xdr:col>
      <xdr:colOff>0</xdr:colOff>
      <xdr:row>39</xdr:row>
      <xdr:rowOff>142876</xdr:rowOff>
    </xdr:from>
    <xdr:to>
      <xdr:col>15</xdr:col>
      <xdr:colOff>19050</xdr:colOff>
      <xdr:row>48</xdr:row>
      <xdr:rowOff>133351</xdr:rowOff>
    </xdr:to>
    <xdr:sp macro="" textlink="">
      <xdr:nvSpPr>
        <xdr:cNvPr id="12" name="TextBox 11"/>
        <xdr:cNvSpPr txBox="1"/>
      </xdr:nvSpPr>
      <xdr:spPr>
        <a:xfrm>
          <a:off x="8753475" y="7429501"/>
          <a:ext cx="5000625"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Summary:  </a:t>
          </a:r>
          <a:r>
            <a:rPr lang="en-US" sz="1100">
              <a:latin typeface="Arial" panose="020B0604020202020204" pitchFamily="34" charset="0"/>
              <a:cs typeface="Arial" panose="020B0604020202020204" pitchFamily="34" charset="0"/>
            </a:rPr>
            <a:t>There is a substantial increase in Net Income even</a:t>
          </a:r>
          <a:r>
            <a:rPr lang="en-US" sz="1100" baseline="0">
              <a:latin typeface="Arial" panose="020B0604020202020204" pitchFamily="34" charset="0"/>
              <a:cs typeface="Arial" panose="020B0604020202020204" pitchFamily="34" charset="0"/>
            </a:rPr>
            <a:t> though the total number of units has remained the same and the cost of goods has remained stable. The reasons: (1) A considerable price increase in the lamb. She should see that this product is underpriced - raising the price does not diminish sales. (2) Her demand has increased for the Bison which is a high margin product - but is it because they can get ALL Bison for $1 less than the Party Pooch? It appears that she shifted her demand from the Party Pooch to Bison by making it cheaper. What else can you think that would impact this shift? </a:t>
          </a:r>
          <a:endParaRPr lang="en-US"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104775</xdr:rowOff>
    </xdr:from>
    <xdr:to>
      <xdr:col>6</xdr:col>
      <xdr:colOff>38100</xdr:colOff>
      <xdr:row>4</xdr:row>
      <xdr:rowOff>161925</xdr:rowOff>
    </xdr:to>
    <xdr:sp macro="" textlink="">
      <xdr:nvSpPr>
        <xdr:cNvPr id="2" name="TextBox 1"/>
        <xdr:cNvSpPr txBox="1"/>
      </xdr:nvSpPr>
      <xdr:spPr>
        <a:xfrm>
          <a:off x="28575" y="104775"/>
          <a:ext cx="51054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Wanda outsources production,</a:t>
          </a:r>
          <a:r>
            <a:rPr lang="en-US" sz="1100" baseline="0">
              <a:latin typeface="Arial" panose="020B0604020202020204" pitchFamily="34" charset="0"/>
              <a:cs typeface="Arial" panose="020B0604020202020204" pitchFamily="34" charset="0"/>
            </a:rPr>
            <a:t> one of the things she has to consider is that there is a cost associated with this that will impact her COGS which will in turn effect her Gross and Net Income. She needs to see what the cost will be and if the benefits outweigh the costs.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28575</xdr:colOff>
      <xdr:row>11</xdr:row>
      <xdr:rowOff>47625</xdr:rowOff>
    </xdr:from>
    <xdr:to>
      <xdr:col>7</xdr:col>
      <xdr:colOff>0</xdr:colOff>
      <xdr:row>17</xdr:row>
      <xdr:rowOff>76200</xdr:rowOff>
    </xdr:to>
    <mc:AlternateContent xmlns:mc="http://schemas.openxmlformats.org/markup-compatibility/2006" xmlns:a14="http://schemas.microsoft.com/office/drawing/2010/main">
      <mc:Choice Requires="a14">
        <xdr:sp macro="" textlink="">
          <xdr:nvSpPr>
            <xdr:cNvPr id="3" name="TextBox 2"/>
            <xdr:cNvSpPr txBox="1"/>
          </xdr:nvSpPr>
          <xdr:spPr>
            <a:xfrm>
              <a:off x="28575" y="2419350"/>
              <a:ext cx="67437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we go back and use the figures that she</a:t>
              </a:r>
              <a:r>
                <a:rPr lang="en-US" sz="1100" baseline="0">
                  <a:latin typeface="Arial" panose="020B0604020202020204" pitchFamily="34" charset="0"/>
                  <a:cs typeface="Arial" panose="020B0604020202020204" pitchFamily="34" charset="0"/>
                </a:rPr>
                <a:t> gave us earlier we can see what the impact of this would be on her income. To find the new COGS we will use the following approach:</a:t>
              </a:r>
            </a:p>
            <a:p>
              <a:pPr/>
              <a14:m>
                <m:oMathPara xmlns:m="http://schemas.openxmlformats.org/officeDocument/2006/math">
                  <m:oMathParaPr>
                    <m:jc m:val="left"/>
                  </m:oMathParaPr>
                  <m:oMath xmlns:m="http://schemas.openxmlformats.org/officeDocument/2006/math">
                    <m:r>
                      <a:rPr lang="en-US" sz="1100" b="0" i="1">
                        <a:latin typeface="Cambria Math"/>
                        <a:cs typeface="Arial" panose="020B0604020202020204" pitchFamily="34" charset="0"/>
                      </a:rPr>
                      <m:t>𝑃𝑎𝑟𝑡𝑦</m:t>
                    </m:r>
                    <m:r>
                      <a:rPr lang="en-US" sz="1100" b="0" i="1">
                        <a:latin typeface="Cambria Math"/>
                        <a:cs typeface="Arial" panose="020B0604020202020204" pitchFamily="34" charset="0"/>
                      </a:rPr>
                      <m:t> </m:t>
                    </m:r>
                    <m:r>
                      <a:rPr lang="en-US" sz="1100" b="0" i="1">
                        <a:latin typeface="Cambria Math"/>
                        <a:cs typeface="Arial" panose="020B0604020202020204" pitchFamily="34" charset="0"/>
                      </a:rPr>
                      <m:t>𝑃𝑜𝑜𝑐h</m:t>
                    </m:r>
                    <m:r>
                      <a:rPr lang="en-US" sz="1100" b="0" i="1">
                        <a:latin typeface="Cambria Math"/>
                        <a:cs typeface="Arial" panose="020B0604020202020204" pitchFamily="34" charset="0"/>
                      </a:rPr>
                      <m:t>=</m:t>
                    </m:r>
                    <m:d>
                      <m:dPr>
                        <m:ctrlPr>
                          <a:rPr lang="en-US" sz="1100" b="0" i="1">
                            <a:latin typeface="Cambria Math"/>
                            <a:cs typeface="Arial" panose="020B0604020202020204" pitchFamily="34" charset="0"/>
                          </a:rPr>
                        </m:ctrlPr>
                      </m:dPr>
                      <m:e>
                        <m:r>
                          <a:rPr lang="en-US" sz="1100" b="0" i="1">
                            <a:latin typeface="Cambria Math"/>
                            <a:cs typeface="Arial" panose="020B0604020202020204" pitchFamily="34" charset="0"/>
                          </a:rPr>
                          <m:t>0.70 </m:t>
                        </m:r>
                        <m:r>
                          <a:rPr lang="en-US" sz="1100" b="0" i="1">
                            <a:latin typeface="Cambria Math"/>
                            <a:cs typeface="Arial" panose="020B0604020202020204" pitchFamily="34" charset="0"/>
                          </a:rPr>
                          <m:t>𝑥</m:t>
                        </m:r>
                        <m:r>
                          <a:rPr lang="en-US" sz="1100" b="0" i="1">
                            <a:latin typeface="Cambria Math"/>
                            <a:cs typeface="Arial" panose="020B0604020202020204" pitchFamily="34" charset="0"/>
                          </a:rPr>
                          <m:t> 4</m:t>
                        </m:r>
                      </m:e>
                    </m:d>
                    <m:r>
                      <a:rPr lang="en-US" sz="1100" b="0" i="1">
                        <a:latin typeface="Cambria Math"/>
                        <a:cs typeface="Arial" panose="020B0604020202020204" pitchFamily="34" charset="0"/>
                      </a:rPr>
                      <m:t>+</m:t>
                    </m:r>
                    <m:d>
                      <m:dPr>
                        <m:ctrlPr>
                          <a:rPr lang="en-US" sz="1100" b="0" i="1">
                            <a:latin typeface="Cambria Math"/>
                            <a:cs typeface="Arial" panose="020B0604020202020204" pitchFamily="34" charset="0"/>
                          </a:rPr>
                        </m:ctrlPr>
                      </m:dPr>
                      <m:e>
                        <m:r>
                          <a:rPr lang="en-US" sz="1100" b="0" i="1">
                            <a:latin typeface="Cambria Math"/>
                            <a:cs typeface="Arial" panose="020B0604020202020204" pitchFamily="34" charset="0"/>
                          </a:rPr>
                          <m:t>1.05 </m:t>
                        </m:r>
                        <m:r>
                          <a:rPr lang="en-US" sz="1100" b="0" i="1">
                            <a:latin typeface="Cambria Math"/>
                            <a:cs typeface="Arial" panose="020B0604020202020204" pitchFamily="34" charset="0"/>
                          </a:rPr>
                          <m:t>𝑥</m:t>
                        </m:r>
                        <m:r>
                          <a:rPr lang="en-US" sz="1100" b="0" i="1">
                            <a:latin typeface="Cambria Math"/>
                            <a:cs typeface="Arial" panose="020B0604020202020204" pitchFamily="34" charset="0"/>
                          </a:rPr>
                          <m:t> 4</m:t>
                        </m:r>
                      </m:e>
                    </m:d>
                    <m:r>
                      <a:rPr lang="en-US" sz="1100" b="0" i="1">
                        <a:latin typeface="Cambria Math"/>
                        <a:cs typeface="Arial" panose="020B0604020202020204" pitchFamily="34" charset="0"/>
                      </a:rPr>
                      <m:t>+</m:t>
                    </m:r>
                    <m:d>
                      <m:dPr>
                        <m:ctrlPr>
                          <a:rPr lang="en-US" sz="1100" b="0" i="1">
                            <a:latin typeface="Cambria Math"/>
                            <a:cs typeface="Arial" panose="020B0604020202020204" pitchFamily="34" charset="0"/>
                          </a:rPr>
                        </m:ctrlPr>
                      </m:dPr>
                      <m:e>
                        <m:r>
                          <a:rPr lang="en-US" sz="1100" b="0" i="1">
                            <a:latin typeface="Cambria Math"/>
                            <a:cs typeface="Arial" panose="020B0604020202020204" pitchFamily="34" charset="0"/>
                          </a:rPr>
                          <m:t>1.25 </m:t>
                        </m:r>
                        <m:r>
                          <a:rPr lang="en-US" sz="1100" b="0" i="1">
                            <a:latin typeface="Cambria Math"/>
                            <a:cs typeface="Arial" panose="020B0604020202020204" pitchFamily="34" charset="0"/>
                          </a:rPr>
                          <m:t>𝑥</m:t>
                        </m:r>
                        <m:r>
                          <a:rPr lang="en-US" sz="1100" b="0" i="1">
                            <a:latin typeface="Cambria Math"/>
                            <a:cs typeface="Arial" panose="020B0604020202020204" pitchFamily="34" charset="0"/>
                          </a:rPr>
                          <m:t> 4 </m:t>
                        </m:r>
                      </m:e>
                    </m:d>
                    <m:r>
                      <a:rPr lang="en-US" sz="1100" b="0" i="1">
                        <a:latin typeface="Cambria Math"/>
                        <a:cs typeface="Arial" panose="020B0604020202020204" pitchFamily="34" charset="0"/>
                      </a:rPr>
                      <m:t>=$12.00</m:t>
                    </m:r>
                  </m:oMath>
                </m:oMathPara>
              </a14:m>
              <a:endParaRPr lang="en-US" sz="1100" b="0" i="1">
                <a:latin typeface="Cambria Math"/>
                <a:cs typeface="Arial" panose="020B0604020202020204" pitchFamily="34" charset="0"/>
              </a:endParaRPr>
            </a:p>
            <a:p>
              <a:pPr/>
              <a14:m>
                <m:oMathPara xmlns:m="http://schemas.openxmlformats.org/officeDocument/2006/math">
                  <m:oMathParaPr>
                    <m:jc m:val="left"/>
                  </m:oMathParaPr>
                  <m:oMath xmlns:m="http://schemas.openxmlformats.org/officeDocument/2006/math">
                    <m:r>
                      <a:rPr lang="en-US" sz="1100" b="0" i="1">
                        <a:latin typeface="Cambria Math"/>
                        <a:cs typeface="Arial" panose="020B0604020202020204" pitchFamily="34" charset="0"/>
                      </a:rPr>
                      <m:t>𝐶h𝑖𝑐𝑘𝑒𝑛</m:t>
                    </m:r>
                    <m:r>
                      <a:rPr lang="en-US" sz="1100" b="0" i="1">
                        <a:latin typeface="Cambria Math"/>
                        <a:cs typeface="Arial" panose="020B0604020202020204" pitchFamily="34" charset="0"/>
                      </a:rPr>
                      <m:t> </m:t>
                    </m:r>
                    <m:r>
                      <a:rPr lang="en-US" sz="1100" b="0" i="1">
                        <a:latin typeface="Cambria Math"/>
                        <a:cs typeface="Arial" panose="020B0604020202020204" pitchFamily="34" charset="0"/>
                      </a:rPr>
                      <m:t>𝐶𝑢𝑡𝑖𝑒𝑠</m:t>
                    </m:r>
                    <m:r>
                      <a:rPr lang="en-US" sz="1100" b="0" i="1">
                        <a:latin typeface="Cambria Math"/>
                        <a:cs typeface="Arial" panose="020B0604020202020204" pitchFamily="34" charset="0"/>
                      </a:rPr>
                      <m:t>=</m:t>
                    </m:r>
                    <m:d>
                      <m:dPr>
                        <m:ctrlPr>
                          <a:rPr lang="en-US" sz="1100" b="0" i="1">
                            <a:latin typeface="Cambria Math"/>
                            <a:cs typeface="Arial" panose="020B0604020202020204" pitchFamily="34" charset="0"/>
                          </a:rPr>
                        </m:ctrlPr>
                      </m:dPr>
                      <m:e>
                        <m:r>
                          <a:rPr lang="en-US" sz="1100" b="0" i="1">
                            <a:latin typeface="Cambria Math"/>
                            <a:cs typeface="Arial" panose="020B0604020202020204" pitchFamily="34" charset="0"/>
                          </a:rPr>
                          <m:t>12 </m:t>
                        </m:r>
                        <m:r>
                          <a:rPr lang="en-US" sz="1100" b="0" i="1">
                            <a:latin typeface="Cambria Math"/>
                            <a:cs typeface="Arial" panose="020B0604020202020204" pitchFamily="34" charset="0"/>
                          </a:rPr>
                          <m:t>𝑥</m:t>
                        </m:r>
                        <m:r>
                          <a:rPr lang="en-US" sz="1100" b="0" i="1">
                            <a:latin typeface="Cambria Math"/>
                            <a:cs typeface="Arial" panose="020B0604020202020204" pitchFamily="34" charset="0"/>
                          </a:rPr>
                          <m:t> 0.70</m:t>
                        </m:r>
                      </m:e>
                    </m:d>
                    <m:r>
                      <a:rPr lang="en-US" sz="1100" b="0" i="1">
                        <a:latin typeface="Cambria Math"/>
                        <a:cs typeface="Arial" panose="020B0604020202020204" pitchFamily="34" charset="0"/>
                      </a:rPr>
                      <m:t>=$8.40</m:t>
                    </m:r>
                  </m:oMath>
                </m:oMathPara>
              </a14:m>
              <a:endParaRPr lang="en-US" sz="1100" b="0" i="1">
                <a:latin typeface="Cambria Math"/>
                <a:cs typeface="Arial" panose="020B0604020202020204" pitchFamily="34" charset="0"/>
              </a:endParaRPr>
            </a:p>
            <a:p>
              <a:pPr/>
              <a14:m>
                <m:oMathPara xmlns:m="http://schemas.openxmlformats.org/officeDocument/2006/math">
                  <m:oMathParaPr>
                    <m:jc m:val="left"/>
                  </m:oMathParaPr>
                  <m:oMath xmlns:m="http://schemas.openxmlformats.org/officeDocument/2006/math">
                    <m:r>
                      <a:rPr lang="en-US" sz="1100" b="0" i="1">
                        <a:latin typeface="Cambria Math"/>
                        <a:cs typeface="Arial" panose="020B0604020202020204" pitchFamily="34" charset="0"/>
                      </a:rPr>
                      <m:t>𝐵𝑖𝑠𝑜𝑛</m:t>
                    </m:r>
                    <m:r>
                      <a:rPr lang="en-US" sz="1100" b="0" i="1">
                        <a:latin typeface="Cambria Math"/>
                        <a:cs typeface="Arial" panose="020B0604020202020204" pitchFamily="34" charset="0"/>
                      </a:rPr>
                      <m:t> </m:t>
                    </m:r>
                    <m:r>
                      <a:rPr lang="en-US" sz="1100" b="0" i="1">
                        <a:latin typeface="Cambria Math"/>
                        <a:cs typeface="Arial" panose="020B0604020202020204" pitchFamily="34" charset="0"/>
                      </a:rPr>
                      <m:t>𝐵𝑖𝑡𝑒𝑠</m:t>
                    </m:r>
                    <m:r>
                      <a:rPr lang="en-US" sz="1100" b="0" i="1">
                        <a:latin typeface="Cambria Math"/>
                        <a:cs typeface="Arial" panose="020B0604020202020204" pitchFamily="34" charset="0"/>
                      </a:rPr>
                      <m:t>=</m:t>
                    </m:r>
                    <m:d>
                      <m:dPr>
                        <m:ctrlPr>
                          <a:rPr lang="en-US" sz="1100" b="0" i="1">
                            <a:latin typeface="Cambria Math"/>
                            <a:cs typeface="Arial" panose="020B0604020202020204" pitchFamily="34" charset="0"/>
                          </a:rPr>
                        </m:ctrlPr>
                      </m:dPr>
                      <m:e>
                        <m:r>
                          <a:rPr lang="en-US" sz="1100" b="0" i="1">
                            <a:latin typeface="Cambria Math"/>
                            <a:cs typeface="Arial" panose="020B0604020202020204" pitchFamily="34" charset="0"/>
                          </a:rPr>
                          <m:t> 12 </m:t>
                        </m:r>
                        <m:r>
                          <a:rPr lang="en-US" sz="1100" b="0" i="1">
                            <a:latin typeface="Cambria Math"/>
                            <a:cs typeface="Arial" panose="020B0604020202020204" pitchFamily="34" charset="0"/>
                          </a:rPr>
                          <m:t>𝑥</m:t>
                        </m:r>
                        <m:r>
                          <a:rPr lang="en-US" sz="1100" b="0" i="1">
                            <a:latin typeface="Cambria Math"/>
                            <a:cs typeface="Arial" panose="020B0604020202020204" pitchFamily="34" charset="0"/>
                          </a:rPr>
                          <m:t> 1.05</m:t>
                        </m:r>
                      </m:e>
                    </m:d>
                    <m:r>
                      <a:rPr lang="en-US" sz="1100" b="0" i="1">
                        <a:latin typeface="Cambria Math"/>
                        <a:cs typeface="Arial" panose="020B0604020202020204" pitchFamily="34" charset="0"/>
                      </a:rPr>
                      <m:t>=$12.60 </m:t>
                    </m:r>
                  </m:oMath>
                </m:oMathPara>
              </a14:m>
              <a:endParaRPr lang="en-US" sz="1100" b="0" i="1">
                <a:latin typeface="Cambria Math"/>
                <a:cs typeface="Arial" panose="020B0604020202020204" pitchFamily="34" charset="0"/>
              </a:endParaRPr>
            </a:p>
            <a:p>
              <a:pPr/>
              <a14:m>
                <m:oMathPara xmlns:m="http://schemas.openxmlformats.org/officeDocument/2006/math">
                  <m:oMathParaPr>
                    <m:jc m:val="left"/>
                  </m:oMathParaPr>
                  <m:oMath xmlns:m="http://schemas.openxmlformats.org/officeDocument/2006/math">
                    <m:r>
                      <a:rPr lang="en-US" sz="1100" b="0" i="1">
                        <a:latin typeface="Cambria Math"/>
                        <a:cs typeface="Arial" panose="020B0604020202020204" pitchFamily="34" charset="0"/>
                      </a:rPr>
                      <m:t>𝐿𝑎𝑚𝑏</m:t>
                    </m:r>
                    <m:r>
                      <a:rPr lang="en-US" sz="1100" b="0" i="1">
                        <a:latin typeface="Cambria Math"/>
                        <a:cs typeface="Arial" panose="020B0604020202020204" pitchFamily="34" charset="0"/>
                      </a:rPr>
                      <m:t> </m:t>
                    </m:r>
                    <m:r>
                      <a:rPr lang="en-US" sz="1100" b="0" i="1">
                        <a:latin typeface="Cambria Math"/>
                        <a:cs typeface="Arial" panose="020B0604020202020204" pitchFamily="34" charset="0"/>
                      </a:rPr>
                      <m:t>𝐿𝑜𝑣𝑖𝑒𝑠</m:t>
                    </m:r>
                    <m:r>
                      <a:rPr lang="en-US" sz="1100" b="0" i="1">
                        <a:latin typeface="Cambria Math"/>
                        <a:cs typeface="Arial" panose="020B0604020202020204" pitchFamily="34" charset="0"/>
                      </a:rPr>
                      <m:t>=</m:t>
                    </m:r>
                    <m:d>
                      <m:dPr>
                        <m:ctrlPr>
                          <a:rPr lang="en-US" sz="1100" b="0" i="1">
                            <a:latin typeface="Cambria Math"/>
                            <a:cs typeface="Arial" panose="020B0604020202020204" pitchFamily="34" charset="0"/>
                          </a:rPr>
                        </m:ctrlPr>
                      </m:dPr>
                      <m:e>
                        <m:r>
                          <a:rPr lang="en-US" sz="1100" b="0" i="1">
                            <a:latin typeface="Cambria Math"/>
                            <a:cs typeface="Arial" panose="020B0604020202020204" pitchFamily="34" charset="0"/>
                          </a:rPr>
                          <m:t>12 </m:t>
                        </m:r>
                        <m:r>
                          <a:rPr lang="en-US" sz="1100" b="0" i="1">
                            <a:latin typeface="Cambria Math"/>
                            <a:cs typeface="Arial" panose="020B0604020202020204" pitchFamily="34" charset="0"/>
                          </a:rPr>
                          <m:t>𝑥</m:t>
                        </m:r>
                        <m:r>
                          <a:rPr lang="en-US" sz="1100" b="0" i="1">
                            <a:latin typeface="Cambria Math"/>
                            <a:cs typeface="Arial" panose="020B0604020202020204" pitchFamily="34" charset="0"/>
                          </a:rPr>
                          <m:t> $1.25</m:t>
                        </m:r>
                      </m:e>
                    </m:d>
                    <m:r>
                      <a:rPr lang="en-US" sz="1100" b="0" i="1">
                        <a:latin typeface="Cambria Math"/>
                        <a:cs typeface="Arial" panose="020B0604020202020204" pitchFamily="34" charset="0"/>
                      </a:rPr>
                      <m:t>=$15.00</m:t>
                    </m:r>
                  </m:oMath>
                </m:oMathPara>
              </a14:m>
              <a:endParaRPr lang="en-US" sz="1100" b="0" i="1">
                <a:latin typeface="Cambria Math"/>
                <a:cs typeface="Arial" panose="020B0604020202020204" pitchFamily="34" charset="0"/>
              </a:endParaRPr>
            </a:p>
            <a:p>
              <a:pPr/>
              <a14:m>
                <m:oMathPara xmlns:m="http://schemas.openxmlformats.org/officeDocument/2006/math">
                  <m:oMathParaPr>
                    <m:jc m:val="centerGroup"/>
                  </m:oMathParaPr>
                  <m:oMath xmlns:m="http://schemas.openxmlformats.org/officeDocument/2006/math">
                    <m:r>
                      <a:rPr lang="en-US" sz="1100" b="0" i="1">
                        <a:latin typeface="Cambria Math"/>
                        <a:cs typeface="Arial" panose="020B0604020202020204" pitchFamily="34" charset="0"/>
                      </a:rPr>
                      <m:t> </m:t>
                    </m:r>
                  </m:oMath>
                </m:oMathPara>
              </a14:m>
              <a:endParaRPr lang="en-US" sz="1100">
                <a:latin typeface="Arial" panose="020B0604020202020204" pitchFamily="34" charset="0"/>
                <a:cs typeface="Arial" panose="020B0604020202020204" pitchFamily="34" charset="0"/>
              </a:endParaRPr>
            </a:p>
          </xdr:txBody>
        </xdr:sp>
      </mc:Choice>
      <mc:Fallback xmlns="">
        <xdr:sp macro="" textlink="">
          <xdr:nvSpPr>
            <xdr:cNvPr id="3" name="TextBox 2"/>
            <xdr:cNvSpPr txBox="1"/>
          </xdr:nvSpPr>
          <xdr:spPr>
            <a:xfrm>
              <a:off x="28575" y="2419350"/>
              <a:ext cx="67437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we go back and use the figures that she</a:t>
              </a:r>
              <a:r>
                <a:rPr lang="en-US" sz="1100" baseline="0">
                  <a:latin typeface="Arial" panose="020B0604020202020204" pitchFamily="34" charset="0"/>
                  <a:cs typeface="Arial" panose="020B0604020202020204" pitchFamily="34" charset="0"/>
                </a:rPr>
                <a:t> gave us earlier we can see what the impact of this would be on her income. To find the new COGS we will use the following approach:</a:t>
              </a:r>
            </a:p>
            <a:p>
              <a:pPr/>
              <a:r>
                <a:rPr lang="en-US" sz="1100" b="0" i="0">
                  <a:latin typeface="Cambria Math"/>
                  <a:cs typeface="Arial" panose="020B0604020202020204" pitchFamily="34" charset="0"/>
                </a:rPr>
                <a:t>𝑃𝑎𝑟𝑡𝑦 𝑃𝑜𝑜𝑐ℎ=(0.70 𝑥 4)+(1.05 𝑥 4)+(1.25 𝑥 4 )=$12.00</a:t>
              </a:r>
              <a:endParaRPr lang="en-US" sz="1100" b="0" i="1">
                <a:latin typeface="Cambria Math"/>
                <a:cs typeface="Arial" panose="020B0604020202020204" pitchFamily="34" charset="0"/>
              </a:endParaRPr>
            </a:p>
            <a:p>
              <a:pPr/>
              <a:r>
                <a:rPr lang="en-US" sz="1100" b="0" i="0">
                  <a:latin typeface="Cambria Math"/>
                  <a:cs typeface="Arial" panose="020B0604020202020204" pitchFamily="34" charset="0"/>
                </a:rPr>
                <a:t>𝐶ℎ𝑖𝑐𝑘𝑒𝑛 𝐶𝑢𝑡𝑖𝑒𝑠=(12 𝑥 0.70)=$8.40</a:t>
              </a:r>
              <a:endParaRPr lang="en-US" sz="1100" b="0" i="1">
                <a:latin typeface="Cambria Math"/>
                <a:cs typeface="Arial" panose="020B0604020202020204" pitchFamily="34" charset="0"/>
              </a:endParaRPr>
            </a:p>
            <a:p>
              <a:pPr/>
              <a:r>
                <a:rPr lang="en-US" sz="1100" b="0" i="0">
                  <a:latin typeface="Cambria Math"/>
                  <a:cs typeface="Arial" panose="020B0604020202020204" pitchFamily="34" charset="0"/>
                </a:rPr>
                <a:t>𝐵𝑖𝑠𝑜𝑛 𝐵𝑖𝑡𝑒𝑠=( 12 𝑥 1.05)=$12.60 </a:t>
              </a:r>
              <a:endParaRPr lang="en-US" sz="1100" b="0" i="1">
                <a:latin typeface="Cambria Math"/>
                <a:cs typeface="Arial" panose="020B0604020202020204" pitchFamily="34" charset="0"/>
              </a:endParaRPr>
            </a:p>
            <a:p>
              <a:pPr/>
              <a:r>
                <a:rPr lang="en-US" sz="1100" b="0" i="0">
                  <a:latin typeface="Cambria Math"/>
                  <a:cs typeface="Arial" panose="020B0604020202020204" pitchFamily="34" charset="0"/>
                </a:rPr>
                <a:t>𝐿𝑎𝑚𝑏 𝐿𝑜𝑣𝑖𝑒𝑠=(12 𝑥 $1.25)=$15.00</a:t>
              </a:r>
              <a:endParaRPr lang="en-US" sz="1100" b="0" i="1">
                <a:latin typeface="Cambria Math"/>
                <a:cs typeface="Arial" panose="020B0604020202020204" pitchFamily="34" charset="0"/>
              </a:endParaRPr>
            </a:p>
            <a:p>
              <a:r>
                <a:rPr lang="en-US" sz="1100" b="0" i="0">
                  <a:latin typeface="Cambria Math"/>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mc:Fallback>
    </mc:AlternateContent>
    <xdr:clientData/>
  </xdr:twoCellAnchor>
  <xdr:twoCellAnchor>
    <xdr:from>
      <xdr:col>0</xdr:col>
      <xdr:colOff>9525</xdr:colOff>
      <xdr:row>26</xdr:row>
      <xdr:rowOff>19050</xdr:rowOff>
    </xdr:from>
    <xdr:to>
      <xdr:col>6</xdr:col>
      <xdr:colOff>981075</xdr:colOff>
      <xdr:row>28</xdr:row>
      <xdr:rowOff>85725</xdr:rowOff>
    </xdr:to>
    <xdr:sp macro="" textlink="">
      <xdr:nvSpPr>
        <xdr:cNvPr id="4" name="TextBox 3"/>
        <xdr:cNvSpPr txBox="1"/>
      </xdr:nvSpPr>
      <xdr:spPr>
        <a:xfrm>
          <a:off x="9525" y="5143500"/>
          <a:ext cx="6829425"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she sells</a:t>
          </a:r>
          <a:r>
            <a:rPr lang="en-US" sz="1100" baseline="0">
              <a:latin typeface="Arial" panose="020B0604020202020204" pitchFamily="34" charset="0"/>
              <a:cs typeface="Arial" panose="020B0604020202020204" pitchFamily="34" charset="0"/>
            </a:rPr>
            <a:t> 10,000 units total - based on her current sales mix she will sell the units shown above. If we consider her income before and after oursourcing - the following numbers are what she has to consider.</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19050</xdr:colOff>
      <xdr:row>35</xdr:row>
      <xdr:rowOff>47625</xdr:rowOff>
    </xdr:from>
    <xdr:to>
      <xdr:col>6</xdr:col>
      <xdr:colOff>523875</xdr:colOff>
      <xdr:row>37</xdr:row>
      <xdr:rowOff>171450</xdr:rowOff>
    </xdr:to>
    <xdr:sp macro="" textlink="">
      <xdr:nvSpPr>
        <xdr:cNvPr id="5" name="TextBox 4"/>
        <xdr:cNvSpPr txBox="1"/>
      </xdr:nvSpPr>
      <xdr:spPr>
        <a:xfrm>
          <a:off x="4362450" y="6829425"/>
          <a:ext cx="22193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Remember, outsourcing doesn't raise the price just the cost !</a:t>
          </a:r>
          <a:r>
            <a:rPr lang="en-US" sz="1100" baseline="0">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4</xdr:col>
      <xdr:colOff>161925</xdr:colOff>
      <xdr:row>42</xdr:row>
      <xdr:rowOff>85725</xdr:rowOff>
    </xdr:from>
    <xdr:to>
      <xdr:col>7</xdr:col>
      <xdr:colOff>542925</xdr:colOff>
      <xdr:row>47</xdr:row>
      <xdr:rowOff>171450</xdr:rowOff>
    </xdr:to>
    <xdr:sp macro="" textlink="">
      <xdr:nvSpPr>
        <xdr:cNvPr id="6" name="TextBox 5"/>
        <xdr:cNvSpPr txBox="1"/>
      </xdr:nvSpPr>
      <xdr:spPr>
        <a:xfrm>
          <a:off x="4505325" y="8181975"/>
          <a:ext cx="3095625" cy="1028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Outsourcing will cost her $16,860 in</a:t>
          </a:r>
          <a:r>
            <a:rPr lang="en-US" sz="1100" baseline="0">
              <a:latin typeface="Arial" panose="020B0604020202020204" pitchFamily="34" charset="0"/>
              <a:cs typeface="Arial" panose="020B0604020202020204" pitchFamily="34" charset="0"/>
            </a:rPr>
            <a:t> Gross Profit. If her goal for outsourcing is to be able to reduce her price, then she will have to first cut almost $17,000 in costs just to maintain the same Gross Income level. </a:t>
          </a:r>
          <a:endParaRPr lang="en-US" sz="11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63</xdr:row>
      <xdr:rowOff>66675</xdr:rowOff>
    </xdr:from>
    <xdr:to>
      <xdr:col>7</xdr:col>
      <xdr:colOff>790575</xdr:colOff>
      <xdr:row>63</xdr:row>
      <xdr:rowOff>85725</xdr:rowOff>
    </xdr:to>
    <xdr:cxnSp macro="">
      <xdr:nvCxnSpPr>
        <xdr:cNvPr id="4" name="Straight Connector 3"/>
        <xdr:cNvCxnSpPr/>
      </xdr:nvCxnSpPr>
      <xdr:spPr>
        <a:xfrm>
          <a:off x="38100" y="13411200"/>
          <a:ext cx="8020050" cy="190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47625</xdr:colOff>
      <xdr:row>88</xdr:row>
      <xdr:rowOff>114301</xdr:rowOff>
    </xdr:from>
    <xdr:to>
      <xdr:col>8</xdr:col>
      <xdr:colOff>47625</xdr:colOff>
      <xdr:row>95</xdr:row>
      <xdr:rowOff>152400</xdr:rowOff>
    </xdr:to>
    <xdr:sp macro="" textlink="">
      <xdr:nvSpPr>
        <xdr:cNvPr id="5" name="TextBox 4"/>
        <xdr:cNvSpPr txBox="1"/>
      </xdr:nvSpPr>
      <xdr:spPr>
        <a:xfrm>
          <a:off x="47625" y="18087976"/>
          <a:ext cx="7972425" cy="1304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 she drops the price on</a:t>
          </a:r>
          <a:r>
            <a:rPr lang="en-US" sz="1100" baseline="0">
              <a:latin typeface="Arial" panose="020B0604020202020204" pitchFamily="34" charset="0"/>
              <a:cs typeface="Arial" panose="020B0604020202020204" pitchFamily="34" charset="0"/>
            </a:rPr>
            <a:t> the Bison Bites by $0.25 she will reduce her profit margin from 48% to 46% and reduce her gross income by $8,400. But, when she factors in both the reduction in profit margin and the reduction in sales revenue her break even point actually goes up by much less than $8400. Her breakeven point rises from $154,381 to $159,928. Why didn't the change in price have a larger impact on her breakeven point? Look at the weighted profit margin from the two products that were effected and their changes: 21.5% to 20.4% and 2.4% to 2.0%. That is a very small change when you look at the bigger picture of average profit margin. So, she will have a drop in income but she will not necessarily have to gain much additional cash in order to get to that breakeven point.</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38100</xdr:colOff>
      <xdr:row>0</xdr:row>
      <xdr:rowOff>95250</xdr:rowOff>
    </xdr:from>
    <xdr:to>
      <xdr:col>5</xdr:col>
      <xdr:colOff>466725</xdr:colOff>
      <xdr:row>1</xdr:row>
      <xdr:rowOff>0</xdr:rowOff>
    </xdr:to>
    <xdr:sp macro="" textlink="">
      <xdr:nvSpPr>
        <xdr:cNvPr id="2" name="TextBox 1"/>
        <xdr:cNvSpPr txBox="1"/>
      </xdr:nvSpPr>
      <xdr:spPr>
        <a:xfrm>
          <a:off x="38100" y="95250"/>
          <a:ext cx="62293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What effect will a $0.25 price reduction in Bison Bites have on Salty Pawz’s break-even point? Assume that the product sales mix remains unchanged.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19050</xdr:colOff>
      <xdr:row>38</xdr:row>
      <xdr:rowOff>104775</xdr:rowOff>
    </xdr:from>
    <xdr:to>
      <xdr:col>7</xdr:col>
      <xdr:colOff>809625</xdr:colOff>
      <xdr:row>38</xdr:row>
      <xdr:rowOff>114300</xdr:rowOff>
    </xdr:to>
    <xdr:cxnSp macro="">
      <xdr:nvCxnSpPr>
        <xdr:cNvPr id="6" name="Straight Connector 5"/>
        <xdr:cNvCxnSpPr/>
      </xdr:nvCxnSpPr>
      <xdr:spPr>
        <a:xfrm flipV="1">
          <a:off x="19050" y="8115300"/>
          <a:ext cx="8058150" cy="95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63</xdr:row>
      <xdr:rowOff>66675</xdr:rowOff>
    </xdr:from>
    <xdr:to>
      <xdr:col>7</xdr:col>
      <xdr:colOff>790575</xdr:colOff>
      <xdr:row>63</xdr:row>
      <xdr:rowOff>85725</xdr:rowOff>
    </xdr:to>
    <xdr:cxnSp macro="">
      <xdr:nvCxnSpPr>
        <xdr:cNvPr id="2" name="Straight Connector 1"/>
        <xdr:cNvCxnSpPr/>
      </xdr:nvCxnSpPr>
      <xdr:spPr>
        <a:xfrm>
          <a:off x="38100" y="12849225"/>
          <a:ext cx="8020050" cy="190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38100</xdr:colOff>
      <xdr:row>0</xdr:row>
      <xdr:rowOff>95250</xdr:rowOff>
    </xdr:from>
    <xdr:to>
      <xdr:col>5</xdr:col>
      <xdr:colOff>466725</xdr:colOff>
      <xdr:row>0</xdr:row>
      <xdr:rowOff>581025</xdr:rowOff>
    </xdr:to>
    <xdr:sp macro="" textlink="">
      <xdr:nvSpPr>
        <xdr:cNvPr id="4" name="TextBox 3"/>
        <xdr:cNvSpPr txBox="1"/>
      </xdr:nvSpPr>
      <xdr:spPr>
        <a:xfrm>
          <a:off x="38100" y="95250"/>
          <a:ext cx="62293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What effect will a $0.25 price reduction in Bison Bites have on Salty Pawz’s break-even point? Assume that the product sales mix </a:t>
          </a:r>
          <a:r>
            <a:rPr lang="en-US" sz="1100" i="1">
              <a:solidFill>
                <a:schemeClr val="dk1"/>
              </a:solidFill>
              <a:effectLst/>
              <a:latin typeface="Arial" panose="020B0604020202020204" pitchFamily="34" charset="0"/>
              <a:ea typeface="+mn-ea"/>
              <a:cs typeface="Arial" panose="020B0604020202020204" pitchFamily="34" charset="0"/>
            </a:rPr>
            <a:t>changes</a:t>
          </a:r>
          <a:r>
            <a:rPr lang="en-US" sz="1100" baseline="0">
              <a:solidFill>
                <a:schemeClr val="dk1"/>
              </a:solidFill>
              <a:effectLst/>
              <a:latin typeface="Arial" panose="020B0604020202020204" pitchFamily="34" charset="0"/>
              <a:ea typeface="+mn-ea"/>
              <a:cs typeface="Arial" panose="020B0604020202020204" pitchFamily="34" charset="0"/>
            </a:rPr>
            <a:t> as shown in Table 1</a:t>
          </a:r>
          <a:r>
            <a:rPr lang="en-US" sz="1100">
              <a:solidFill>
                <a:schemeClr val="dk1"/>
              </a:solidFill>
              <a:effectLst/>
              <a:latin typeface="Arial" panose="020B0604020202020204" pitchFamily="34" charset="0"/>
              <a:ea typeface="+mn-ea"/>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19050</xdr:colOff>
      <xdr:row>38</xdr:row>
      <xdr:rowOff>104775</xdr:rowOff>
    </xdr:from>
    <xdr:to>
      <xdr:col>7</xdr:col>
      <xdr:colOff>809625</xdr:colOff>
      <xdr:row>38</xdr:row>
      <xdr:rowOff>114300</xdr:rowOff>
    </xdr:to>
    <xdr:cxnSp macro="">
      <xdr:nvCxnSpPr>
        <xdr:cNvPr id="5" name="Straight Connector 4"/>
        <xdr:cNvCxnSpPr/>
      </xdr:nvCxnSpPr>
      <xdr:spPr>
        <a:xfrm flipV="1">
          <a:off x="19050" y="8115300"/>
          <a:ext cx="8058150" cy="95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9525</xdr:colOff>
      <xdr:row>5</xdr:row>
      <xdr:rowOff>104775</xdr:rowOff>
    </xdr:from>
    <xdr:to>
      <xdr:col>11</xdr:col>
      <xdr:colOff>47625</xdr:colOff>
      <xdr:row>16</xdr:row>
      <xdr:rowOff>9525</xdr:rowOff>
    </xdr:to>
    <xdr:sp macro="" textlink="">
      <xdr:nvSpPr>
        <xdr:cNvPr id="6" name="TextBox 5"/>
        <xdr:cNvSpPr txBox="1"/>
      </xdr:nvSpPr>
      <xdr:spPr>
        <a:xfrm>
          <a:off x="5829300" y="1876425"/>
          <a:ext cx="4210050" cy="204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What happened to  her income</a:t>
          </a:r>
          <a:r>
            <a:rPr lang="en-US" sz="1100" baseline="0">
              <a:latin typeface="Arial" panose="020B0604020202020204" pitchFamily="34" charset="0"/>
              <a:cs typeface="Arial" panose="020B0604020202020204" pitchFamily="34" charset="0"/>
            </a:rPr>
            <a:t> and costs? Since she had a price reduction in the Party Pooch we expected to see that income drop, and she increased the quantity of Bison Bites so we expected that to go up. She took the sales from Chicken Cuties so that is the + and - $10,500. She recovered part of her lost revenue when she reduced her cost to produce Chicken Cuties. but turned right around and spent more than she saved on the cost to make the Bison Bites. The big question is WHY when she changed product mix AND price did her gross profit change the SAME as when she just changed the price? How can that be possible? Look at the Contribution Margin on the Cuties and Bites under this scenario .... $7.20 for BOTH products! </a:t>
          </a:r>
        </a:p>
        <a:p>
          <a:endParaRPr lang="en-US" sz="1100" baseline="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19050</xdr:colOff>
      <xdr:row>2</xdr:row>
      <xdr:rowOff>28576</xdr:rowOff>
    </xdr:from>
    <xdr:to>
      <xdr:col>18</xdr:col>
      <xdr:colOff>571500</xdr:colOff>
      <xdr:row>29</xdr:row>
      <xdr:rowOff>19050</xdr:rowOff>
    </xdr:to>
    <xdr:sp macro="" textlink="">
      <xdr:nvSpPr>
        <xdr:cNvPr id="2" name="TextBox 1"/>
        <xdr:cNvSpPr txBox="1"/>
      </xdr:nvSpPr>
      <xdr:spPr>
        <a:xfrm>
          <a:off x="7534275" y="581026"/>
          <a:ext cx="5429250" cy="5000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One-time Expenses:</a:t>
          </a:r>
        </a:p>
        <a:p>
          <a:r>
            <a:rPr lang="en-US" sz="1100">
              <a:latin typeface="Arial" panose="020B0604020202020204" pitchFamily="34" charset="0"/>
              <a:cs typeface="Arial" panose="020B0604020202020204" pitchFamily="34" charset="0"/>
            </a:rPr>
            <a:t>Deposit</a:t>
          </a:r>
          <a:r>
            <a:rPr lang="en-US" sz="1100" baseline="0">
              <a:latin typeface="Arial" panose="020B0604020202020204" pitchFamily="34" charset="0"/>
              <a:cs typeface="Arial" panose="020B0604020202020204" pitchFamily="34" charset="0"/>
            </a:rPr>
            <a:t> for retail space: $1,000</a:t>
          </a:r>
        </a:p>
        <a:p>
          <a:r>
            <a:rPr lang="en-US" sz="1100" baseline="0">
              <a:latin typeface="Arial" panose="020B0604020202020204" pitchFamily="34" charset="0"/>
              <a:cs typeface="Arial" panose="020B0604020202020204" pitchFamily="34" charset="0"/>
            </a:rPr>
            <a:t>Deposit to establish commercial electric: $250</a:t>
          </a:r>
        </a:p>
        <a:p>
          <a:r>
            <a:rPr lang="en-US" sz="1100" baseline="0">
              <a:latin typeface="Arial" panose="020B0604020202020204" pitchFamily="34" charset="0"/>
              <a:cs typeface="Arial" panose="020B0604020202020204" pitchFamily="34" charset="0"/>
            </a:rPr>
            <a:t>Installation /purchase of telephone system: $800</a:t>
          </a:r>
        </a:p>
        <a:p>
          <a:r>
            <a:rPr lang="en-US" sz="1100" baseline="0">
              <a:latin typeface="Arial" panose="020B0604020202020204" pitchFamily="34" charset="0"/>
              <a:cs typeface="Arial" panose="020B0604020202020204" pitchFamily="34" charset="0"/>
            </a:rPr>
            <a:t>Water/Sewer Deposit: $100</a:t>
          </a:r>
        </a:p>
        <a:p>
          <a:r>
            <a:rPr lang="en-US" sz="1100" baseline="0">
              <a:latin typeface="Arial" panose="020B0604020202020204" pitchFamily="34" charset="0"/>
              <a:cs typeface="Arial" panose="020B0604020202020204" pitchFamily="34" charset="0"/>
            </a:rPr>
            <a:t>Upgrade WIFI (Internet): $175</a:t>
          </a:r>
        </a:p>
        <a:p>
          <a:r>
            <a:rPr lang="en-US" sz="1100" baseline="0">
              <a:latin typeface="Arial" panose="020B0604020202020204" pitchFamily="34" charset="0"/>
              <a:cs typeface="Arial" panose="020B0604020202020204" pitchFamily="34" charset="0"/>
            </a:rPr>
            <a:t>Purchase Retail Supplies (Bags, Labels, Misc.): $450</a:t>
          </a:r>
        </a:p>
        <a:p>
          <a:r>
            <a:rPr lang="en-US" sz="1100" baseline="0">
              <a:latin typeface="Arial" panose="020B0604020202020204" pitchFamily="34" charset="0"/>
              <a:cs typeface="Arial" panose="020B0604020202020204" pitchFamily="34" charset="0"/>
            </a:rPr>
            <a:t>Software/Charges for Credit Card Acceptance: $200 for software</a:t>
          </a:r>
        </a:p>
        <a:p>
          <a:r>
            <a:rPr lang="en-US" sz="1100" baseline="0">
              <a:latin typeface="Arial" panose="020B0604020202020204" pitchFamily="34" charset="0"/>
              <a:cs typeface="Arial" panose="020B0604020202020204" pitchFamily="34" charset="0"/>
            </a:rPr>
            <a:t>Commercial Kitchen Equipment purchased: $8,000</a:t>
          </a:r>
        </a:p>
        <a:p>
          <a:r>
            <a:rPr lang="en-US" sz="1100" b="1" baseline="0">
              <a:latin typeface="Arial" panose="020B0604020202020204" pitchFamily="34" charset="0"/>
              <a:cs typeface="Arial" panose="020B0604020202020204" pitchFamily="34" charset="0"/>
            </a:rPr>
            <a:t>Other:</a:t>
          </a:r>
          <a:r>
            <a:rPr lang="en-US" sz="1100" baseline="0">
              <a:latin typeface="Arial" panose="020B0604020202020204" pitchFamily="34" charset="0"/>
              <a:cs typeface="Arial" panose="020B0604020202020204" pitchFamily="34" charset="0"/>
            </a:rPr>
            <a:t> </a:t>
          </a:r>
        </a:p>
        <a:p>
          <a:pPr lvl="1"/>
          <a:r>
            <a:rPr lang="en-US" sz="1100" baseline="0">
              <a:latin typeface="Arial" panose="020B0604020202020204" pitchFamily="34" charset="0"/>
              <a:cs typeface="Arial" panose="020B0604020202020204" pitchFamily="34" charset="0"/>
            </a:rPr>
            <a:t>Signage for Building: $1000</a:t>
          </a:r>
        </a:p>
        <a:p>
          <a:pPr lvl="1"/>
          <a:r>
            <a:rPr lang="en-US" sz="1100" baseline="0">
              <a:latin typeface="Arial" panose="020B0604020202020204" pitchFamily="34" charset="0"/>
              <a:cs typeface="Arial" panose="020B0604020202020204" pitchFamily="34" charset="0"/>
            </a:rPr>
            <a:t>Business License: $150</a:t>
          </a:r>
        </a:p>
        <a:p>
          <a:pPr lvl="1"/>
          <a:r>
            <a:rPr lang="en-US" sz="1100" baseline="0">
              <a:latin typeface="Arial" panose="020B0604020202020204" pitchFamily="34" charset="0"/>
              <a:cs typeface="Arial" panose="020B0604020202020204" pitchFamily="34" charset="0"/>
            </a:rPr>
            <a:t>Retail Space Decor (paint, artwork, plants, etc.): $500</a:t>
          </a:r>
        </a:p>
        <a:p>
          <a:endParaRPr lang="en-US" sz="1100" b="1" baseline="0">
            <a:latin typeface="Arial" panose="020B0604020202020204" pitchFamily="34" charset="0"/>
            <a:cs typeface="Arial" panose="020B0604020202020204" pitchFamily="34" charset="0"/>
          </a:endParaRPr>
        </a:p>
        <a:p>
          <a:endParaRPr lang="en-US" sz="1100" b="1"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Ongoing Expenses: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Rent: $1000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Electricity: $150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Telephone: $75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Water/Sewer: $100 per month</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Internet $75 per month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Website: $175/month</a:t>
          </a:r>
          <a:endParaRPr lang="en-US" sz="1100">
            <a:effectLst/>
            <a:latin typeface="Arial" panose="020B0604020202020204" pitchFamily="34" charset="0"/>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Salaries:  4 employees, $500 per week</a:t>
          </a:r>
          <a:endParaRPr lang="en-US" sz="11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cs typeface="Arial" panose="020B0604020202020204" pitchFamily="34" charset="0"/>
            </a:rPr>
            <a:t>Owners Draw: $1,000 per month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Retail Supplies (Bags, Labels, Misc.): $115 per month</a:t>
          </a:r>
          <a:endParaRPr lang="en-US" sz="11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Commercial Insurance: $115 per month</a:t>
          </a:r>
          <a:endParaRPr lang="en-US" sz="11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Arial" panose="020B0604020202020204" pitchFamily="34" charset="0"/>
              <a:ea typeface="+mn-ea"/>
              <a:cs typeface="Arial" panose="020B0604020202020204" pitchFamily="34" charset="0"/>
            </a:rPr>
            <a:t>Charges for Credit Card Acceptance:  Estimated  at $150 per month based on % of charge vs. cash sales</a:t>
          </a:r>
          <a:endParaRPr lang="en-US" sz="1100">
            <a:effectLst/>
            <a:latin typeface="Arial" panose="020B0604020202020204" pitchFamily="34" charset="0"/>
            <a:cs typeface="Arial" panose="020B0604020202020204" pitchFamily="34" charset="0"/>
          </a:endParaRPr>
        </a:p>
        <a:p>
          <a:r>
            <a:rPr lang="en-US" sz="1100" b="0" baseline="0">
              <a:latin typeface="Arial" panose="020B0604020202020204" pitchFamily="34" charset="0"/>
              <a:cs typeface="Arial" panose="020B0604020202020204" pitchFamily="34" charset="0"/>
            </a:rPr>
            <a:t>Budgeted $250 per month for other misc. expenses, repairs, supplies</a:t>
          </a:r>
          <a:endParaRPr lang="en-US" sz="1100" b="1" baseline="0">
            <a:latin typeface="Arial" panose="020B0604020202020204" pitchFamily="34" charset="0"/>
            <a:cs typeface="Arial" panose="020B0604020202020204" pitchFamily="34" charset="0"/>
          </a:endParaRPr>
        </a:p>
        <a:p>
          <a:endParaRPr lang="en-US" sz="1100" baseline="0">
            <a:latin typeface="Arial" panose="020B0604020202020204" pitchFamily="34" charset="0"/>
            <a:cs typeface="Arial" panose="020B0604020202020204" pitchFamily="34" charset="0"/>
          </a:endParaRPr>
        </a:p>
        <a:p>
          <a:endParaRPr lang="en-US" sz="1100" baseline="0"/>
        </a:p>
      </xdr:txBody>
    </xdr:sp>
    <xdr:clientData/>
  </xdr:twoCellAnchor>
  <xdr:twoCellAnchor>
    <xdr:from>
      <xdr:col>14</xdr:col>
      <xdr:colOff>9525</xdr:colOff>
      <xdr:row>40</xdr:row>
      <xdr:rowOff>161926</xdr:rowOff>
    </xdr:from>
    <xdr:to>
      <xdr:col>17</xdr:col>
      <xdr:colOff>247650</xdr:colOff>
      <xdr:row>45</xdr:row>
      <xdr:rowOff>133350</xdr:rowOff>
    </xdr:to>
    <xdr:sp macro="" textlink="">
      <xdr:nvSpPr>
        <xdr:cNvPr id="3" name="TextBox 2"/>
        <xdr:cNvSpPr txBox="1"/>
      </xdr:nvSpPr>
      <xdr:spPr>
        <a:xfrm>
          <a:off x="10887075" y="7829551"/>
          <a:ext cx="2552700" cy="923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If you change the</a:t>
          </a:r>
          <a:r>
            <a:rPr lang="en-US" sz="1100" b="1" baseline="0">
              <a:latin typeface="Arial" panose="020B0604020202020204" pitchFamily="34" charset="0"/>
              <a:cs typeface="Arial" panose="020B0604020202020204" pitchFamily="34" charset="0"/>
            </a:rPr>
            <a:t> totals, all monthly sales figures will change based on the product mix indicated in the table to the left. </a:t>
          </a:r>
          <a:endParaRPr lang="en-US" sz="1100" b="1">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114300</xdr:rowOff>
    </xdr:from>
    <xdr:to>
      <xdr:col>10</xdr:col>
      <xdr:colOff>361950</xdr:colOff>
      <xdr:row>6</xdr:row>
      <xdr:rowOff>114300</xdr:rowOff>
    </xdr:to>
    <xdr:sp macro="" textlink="">
      <xdr:nvSpPr>
        <xdr:cNvPr id="2" name="TextBox 1"/>
        <xdr:cNvSpPr txBox="1"/>
      </xdr:nvSpPr>
      <xdr:spPr>
        <a:xfrm>
          <a:off x="28575" y="114300"/>
          <a:ext cx="64293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u="none" strike="noStrike">
              <a:effectLst/>
              <a:latin typeface="Arial" panose="020B0604020202020204" pitchFamily="34" charset="0"/>
              <a:cs typeface="Arial" panose="020B0604020202020204" pitchFamily="34" charset="0"/>
            </a:rPr>
            <a:t>If Wanda makes no changes to her prices and her product mix does not change, what is her new break-even point? </a:t>
          </a:r>
        </a:p>
        <a:p>
          <a:pPr lvl="0"/>
          <a:r>
            <a:rPr lang="en-US" u="none" strike="noStrike">
              <a:effectLst/>
              <a:latin typeface="Arial" panose="020B0604020202020204" pitchFamily="34" charset="0"/>
              <a:cs typeface="Arial" panose="020B0604020202020204" pitchFamily="34" charset="0"/>
            </a:rPr>
            <a:t>How many of each of her four products will she need to sell?</a:t>
          </a:r>
        </a:p>
        <a:p>
          <a:pPr lvl="0"/>
          <a:r>
            <a:rPr lang="en-US" u="none" strike="noStrike">
              <a:effectLst/>
              <a:latin typeface="Arial" panose="020B0604020202020204" pitchFamily="34" charset="0"/>
              <a:cs typeface="Arial" panose="020B0604020202020204" pitchFamily="34" charset="0"/>
            </a:rPr>
            <a:t>Does the new break-even point seem like a realistic goal for Wanda? If so, is there anything else she can do to influence where the break-even point is that won’t hurt her business? </a:t>
          </a:r>
        </a:p>
        <a:p>
          <a:pPr lvl="0"/>
          <a:endParaRPr lang="en-US" u="none" strike="noStrike">
            <a:effectLst/>
            <a:latin typeface="Arial" panose="020B0604020202020204" pitchFamily="34" charset="0"/>
            <a:cs typeface="Arial" panose="020B0604020202020204" pitchFamily="34" charset="0"/>
          </a:endParaRPr>
        </a:p>
        <a:p>
          <a:pPr lvl="0"/>
          <a:r>
            <a:rPr lang="en-US" u="none" strike="noStrike">
              <a:effectLst/>
              <a:latin typeface="Arial" panose="020B0604020202020204" pitchFamily="34" charset="0"/>
              <a:cs typeface="Arial" panose="020B0604020202020204" pitchFamily="34" charset="0"/>
            </a:rPr>
            <a:t>NOTE: Use</a:t>
          </a:r>
          <a:r>
            <a:rPr lang="en-US" u="none" strike="noStrike" baseline="0">
              <a:effectLst/>
              <a:latin typeface="Arial" panose="020B0604020202020204" pitchFamily="34" charset="0"/>
              <a:cs typeface="Arial" panose="020B0604020202020204" pitchFamily="34" charset="0"/>
            </a:rPr>
            <a:t> Sheet 15.3 for comparison of what her Income/Expenses were for the previous month. </a:t>
          </a:r>
          <a:endParaRPr lang="en-US" u="none" strike="noStrike">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twoCellAnchor>
    <xdr:from>
      <xdr:col>3</xdr:col>
      <xdr:colOff>838200</xdr:colOff>
      <xdr:row>8</xdr:row>
      <xdr:rowOff>180975</xdr:rowOff>
    </xdr:from>
    <xdr:to>
      <xdr:col>11</xdr:col>
      <xdr:colOff>600075</xdr:colOff>
      <xdr:row>25</xdr:row>
      <xdr:rowOff>123825</xdr:rowOff>
    </xdr:to>
    <xdr:sp macro="" textlink="">
      <xdr:nvSpPr>
        <xdr:cNvPr id="3" name="TextBox 2"/>
        <xdr:cNvSpPr txBox="1"/>
      </xdr:nvSpPr>
      <xdr:spPr>
        <a:xfrm>
          <a:off x="3857625" y="1628775"/>
          <a:ext cx="5381625"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 order for her to break even, Wanda will have to generate $24,317 in</a:t>
          </a:r>
          <a:r>
            <a:rPr lang="en-US" sz="1100" baseline="0">
              <a:latin typeface="Arial" panose="020B0604020202020204" pitchFamily="34" charset="0"/>
              <a:cs typeface="Arial" panose="020B0604020202020204" pitchFamily="34" charset="0"/>
            </a:rPr>
            <a:t> revenue to cover her increased expenses. This means that she will have to sell over 1,200 items in order to cover her expenses. </a:t>
          </a:r>
        </a:p>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Before she expanded and worked out of her kicthen,she had monthly overhead of only $1,470 and could break even at $3,070 and only had to sell about 150 of her products.  She has increased her  monthly expenses by 10 times and will have to generate almost 8 times as much business just to get back to break even. </a:t>
          </a:r>
        </a:p>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Is this a realistic goal? Go back and compare what her revenue was for the previous month (See Historical Figures Worksheet). Her total revenue was only $15,851 - a great deal less than the $24,317 needed to break even here. </a:t>
          </a:r>
        </a:p>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What can she do to make the move and not have it ruin her business? </a:t>
          </a:r>
        </a:p>
        <a:p>
          <a:r>
            <a:rPr lang="en-US" sz="1100" b="1" baseline="0">
              <a:latin typeface="Arial" panose="020B0604020202020204" pitchFamily="34" charset="0"/>
              <a:cs typeface="Arial" panose="020B0604020202020204" pitchFamily="34" charset="0"/>
            </a:rPr>
            <a:t>Possible solutions</a:t>
          </a:r>
          <a:r>
            <a:rPr lang="en-US" sz="1100" baseline="0">
              <a:latin typeface="Arial" panose="020B0604020202020204" pitchFamily="34" charset="0"/>
              <a:cs typeface="Arial" panose="020B0604020202020204" pitchFamily="34" charset="0"/>
            </a:rPr>
            <a:t>: Do not hire everyone at once, reducing salaries</a:t>
          </a:r>
        </a:p>
        <a:p>
          <a:r>
            <a:rPr lang="en-US" sz="1100" baseline="0">
              <a:latin typeface="Arial" panose="020B0604020202020204" pitchFamily="34" charset="0"/>
              <a:cs typeface="Arial" panose="020B0604020202020204" pitchFamily="34" charset="0"/>
            </a:rPr>
            <a:t>Do not give herself the raise of $500 per month shown, Negotiate a reduction in rent or find a less expensive location, investigate further the $475 she has listed as "other" - can any of this be cut? Possibly run a "sale" to generate some revenue but that is a short term solution to a longer term problem.</a:t>
          </a:r>
        </a:p>
        <a:p>
          <a:endParaRPr lang="en-US" sz="1100" baseline="0">
            <a:latin typeface="Arial" panose="020B0604020202020204" pitchFamily="34" charset="0"/>
            <a:cs typeface="Arial" panose="020B0604020202020204" pitchFamily="34" charset="0"/>
          </a:endParaRPr>
        </a:p>
        <a:p>
          <a:endParaRPr lang="en-US" sz="1100" baseline="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142875</xdr:rowOff>
    </xdr:from>
    <xdr:to>
      <xdr:col>10</xdr:col>
      <xdr:colOff>9525</xdr:colOff>
      <xdr:row>6</xdr:row>
      <xdr:rowOff>123825</xdr:rowOff>
    </xdr:to>
    <xdr:sp macro="" textlink="">
      <xdr:nvSpPr>
        <xdr:cNvPr id="2" name="TextBox 1"/>
        <xdr:cNvSpPr txBox="1"/>
      </xdr:nvSpPr>
      <xdr:spPr>
        <a:xfrm>
          <a:off x="9525" y="142875"/>
          <a:ext cx="60960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u="none" strike="noStrike">
              <a:effectLst/>
              <a:latin typeface="Arial" panose="020B0604020202020204" pitchFamily="34" charset="0"/>
              <a:cs typeface="Arial" panose="020B0604020202020204" pitchFamily="34" charset="0"/>
            </a:rPr>
            <a:t>What would happen Wanda raised her price on each item by $0.10? </a:t>
          </a:r>
        </a:p>
        <a:p>
          <a:pPr lvl="0"/>
          <a:r>
            <a:rPr lang="en-US" u="none" strike="noStrike">
              <a:effectLst/>
              <a:latin typeface="Arial" panose="020B0604020202020204" pitchFamily="34" charset="0"/>
              <a:cs typeface="Arial" panose="020B0604020202020204" pitchFamily="34" charset="0"/>
            </a:rPr>
            <a:t>What would happen Wanda were able to reduce her cost on each item by $0.10?</a:t>
          </a:r>
        </a:p>
        <a:p>
          <a:pPr lvl="0"/>
          <a:r>
            <a:rPr lang="en-US" u="none" strike="noStrike">
              <a:effectLst/>
              <a:latin typeface="Arial" panose="020B0604020202020204" pitchFamily="34" charset="0"/>
              <a:cs typeface="Arial" panose="020B0604020202020204" pitchFamily="34" charset="0"/>
            </a:rPr>
            <a:t>What would happen if she were able to raise her prices AND lower her costs?</a:t>
          </a:r>
        </a:p>
        <a:p>
          <a:pPr lvl="0"/>
          <a:endParaRPr lang="en-US" u="none" strike="noStrike">
            <a:effectLst/>
            <a:latin typeface="Arial" panose="020B0604020202020204" pitchFamily="34" charset="0"/>
            <a:cs typeface="Arial" panose="020B0604020202020204" pitchFamily="34" charset="0"/>
          </a:endParaRPr>
        </a:p>
        <a:p>
          <a:pPr lvl="0"/>
          <a:r>
            <a:rPr lang="en-US" u="none" strike="noStrike">
              <a:effectLst/>
              <a:latin typeface="Arial" panose="020B0604020202020204" pitchFamily="34" charset="0"/>
              <a:cs typeface="Arial" panose="020B0604020202020204" pitchFamily="34" charset="0"/>
            </a:rPr>
            <a:t>Use the Break Even</a:t>
          </a:r>
          <a:r>
            <a:rPr lang="en-US" u="none" strike="noStrike" baseline="0">
              <a:effectLst/>
              <a:latin typeface="Arial" panose="020B0604020202020204" pitchFamily="34" charset="0"/>
              <a:cs typeface="Arial" panose="020B0604020202020204" pitchFamily="34" charset="0"/>
            </a:rPr>
            <a:t> at New Location sheet as the starting point for the "what if" scenarios. </a:t>
          </a:r>
          <a:endParaRPr lang="en-US" u="none" strike="noStrike">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76200</xdr:colOff>
      <xdr:row>31</xdr:row>
      <xdr:rowOff>95250</xdr:rowOff>
    </xdr:from>
    <xdr:to>
      <xdr:col>9</xdr:col>
      <xdr:colOff>38100</xdr:colOff>
      <xdr:row>31</xdr:row>
      <xdr:rowOff>95250</xdr:rowOff>
    </xdr:to>
    <xdr:cxnSp macro="">
      <xdr:nvCxnSpPr>
        <xdr:cNvPr id="4" name="Straight Connector 3"/>
        <xdr:cNvCxnSpPr/>
      </xdr:nvCxnSpPr>
      <xdr:spPr>
        <a:xfrm>
          <a:off x="76200" y="6105525"/>
          <a:ext cx="744855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0</xdr:colOff>
      <xdr:row>55</xdr:row>
      <xdr:rowOff>0</xdr:rowOff>
    </xdr:from>
    <xdr:to>
      <xdr:col>8</xdr:col>
      <xdr:colOff>571500</xdr:colOff>
      <xdr:row>55</xdr:row>
      <xdr:rowOff>0</xdr:rowOff>
    </xdr:to>
    <xdr:cxnSp macro="">
      <xdr:nvCxnSpPr>
        <xdr:cNvPr id="5" name="Straight Connector 4"/>
        <xdr:cNvCxnSpPr/>
      </xdr:nvCxnSpPr>
      <xdr:spPr>
        <a:xfrm>
          <a:off x="0" y="10887075"/>
          <a:ext cx="756285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600075</xdr:colOff>
      <xdr:row>17</xdr:row>
      <xdr:rowOff>152400</xdr:rowOff>
    </xdr:from>
    <xdr:to>
      <xdr:col>17</xdr:col>
      <xdr:colOff>0</xdr:colOff>
      <xdr:row>23</xdr:row>
      <xdr:rowOff>161925</xdr:rowOff>
    </xdr:to>
    <xdr:sp macro="" textlink="">
      <xdr:nvSpPr>
        <xdr:cNvPr id="6" name="TextBox 5"/>
        <xdr:cNvSpPr txBox="1"/>
      </xdr:nvSpPr>
      <xdr:spPr>
        <a:xfrm>
          <a:off x="7610475" y="3419475"/>
          <a:ext cx="4886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Students</a:t>
          </a:r>
          <a:r>
            <a:rPr lang="en-US" sz="1100" baseline="0">
              <a:latin typeface="Arial" panose="020B0604020202020204" pitchFamily="34" charset="0"/>
              <a:cs typeface="Arial" panose="020B0604020202020204" pitchFamily="34" charset="0"/>
            </a:rPr>
            <a:t> should be able to see now that selling low priced items and carrying a large monthly overhead drives the break even point up to the point that profitability almost becomes impossible. </a:t>
          </a:r>
        </a:p>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Even though she has increased her profit margin to over 56%, she is still not generating enough revenue to consistently cover her expenses.</a:t>
          </a:r>
        </a:p>
        <a:p>
          <a:endParaRPr lang="en-US" sz="1100" baseline="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9524</xdr:colOff>
      <xdr:row>1</xdr:row>
      <xdr:rowOff>190500</xdr:rowOff>
    </xdr:from>
    <xdr:to>
      <xdr:col>9</xdr:col>
      <xdr:colOff>133349</xdr:colOff>
      <xdr:row>8</xdr:row>
      <xdr:rowOff>104775</xdr:rowOff>
    </xdr:to>
    <xdr:sp macro="" textlink="">
      <xdr:nvSpPr>
        <xdr:cNvPr id="2" name="TextBox 1"/>
        <xdr:cNvSpPr txBox="1"/>
      </xdr:nvSpPr>
      <xdr:spPr>
        <a:xfrm>
          <a:off x="5924549" y="390525"/>
          <a:ext cx="2562225" cy="1333500"/>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From 2012 to 2013, all sales/COGS/Expenses</a:t>
          </a:r>
          <a:r>
            <a:rPr lang="en-US" sz="1200" baseline="0">
              <a:latin typeface="Arial" panose="020B0604020202020204" pitchFamily="34" charset="0"/>
              <a:cs typeface="Arial" panose="020B0604020202020204" pitchFamily="34" charset="0"/>
            </a:rPr>
            <a:t> increased by 10%</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From 2013 to 2041, all sales/COGS/Expenses increased by 12% </a:t>
          </a:r>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180975</xdr:rowOff>
    </xdr:from>
    <xdr:to>
      <xdr:col>11</xdr:col>
      <xdr:colOff>533400</xdr:colOff>
      <xdr:row>3</xdr:row>
      <xdr:rowOff>57150</xdr:rowOff>
    </xdr:to>
    <mc:AlternateContent xmlns:mc="http://schemas.openxmlformats.org/markup-compatibility/2006">
      <mc:Choice xmlns:a14="http://schemas.microsoft.com/office/drawing/2010/main" Requires="a14">
        <xdr:sp macro="" textlink="">
          <xdr:nvSpPr>
            <xdr:cNvPr id="2" name="TextBox 1"/>
            <xdr:cNvSpPr txBox="1"/>
          </xdr:nvSpPr>
          <xdr:spPr>
            <a:xfrm>
              <a:off x="4800600" y="180975"/>
              <a:ext cx="29718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Para xmlns:m="http://schemas.openxmlformats.org/officeDocument/2006/math">
                  <m:oMathParaPr>
                    <m:jc m:val="centerGroup"/>
                  </m:oMathParaPr>
                  <m:oMath xmlns:m="http://schemas.openxmlformats.org/officeDocument/2006/math">
                    <m:r>
                      <a:rPr lang="en-US" sz="1100" b="0" i="1">
                        <a:latin typeface="Cambria Math"/>
                      </a:rPr>
                      <m:t>𝐶𝑢𝑟𝑟𝑒𝑛𝑡</m:t>
                    </m:r>
                    <m:r>
                      <a:rPr lang="en-US" sz="1100" b="0" i="1">
                        <a:latin typeface="Cambria Math"/>
                      </a:rPr>
                      <m:t> </m:t>
                    </m:r>
                    <m:r>
                      <a:rPr lang="en-US" sz="1100" b="0" i="1">
                        <a:latin typeface="Cambria Math"/>
                      </a:rPr>
                      <m:t>𝑅𝑎𝑡𝑖𝑜</m:t>
                    </m:r>
                    <m:r>
                      <a:rPr lang="en-US" sz="1100" b="0" i="1">
                        <a:latin typeface="Cambria Math"/>
                      </a:rPr>
                      <m:t>= </m:t>
                    </m:r>
                    <m:f>
                      <m:fPr>
                        <m:ctrlPr>
                          <a:rPr lang="en-US" sz="1100" b="0" i="1">
                            <a:latin typeface="Cambria Math"/>
                          </a:rPr>
                        </m:ctrlPr>
                      </m:fPr>
                      <m:num>
                        <m:r>
                          <a:rPr lang="en-US" sz="1100" b="0" i="1">
                            <a:latin typeface="Cambria Math"/>
                          </a:rPr>
                          <m:t>𝐶𝑢𝑟𝑟𝑒𝑛𝑡</m:t>
                        </m:r>
                        <m:r>
                          <a:rPr lang="en-US" sz="1100" b="0" i="1">
                            <a:latin typeface="Cambria Math"/>
                          </a:rPr>
                          <m:t> </m:t>
                        </m:r>
                        <m:r>
                          <a:rPr lang="en-US" sz="1100" b="0" i="1">
                            <a:latin typeface="Cambria Math"/>
                          </a:rPr>
                          <m:t>𝐴𝑠𝑠𝑒𝑡𝑠</m:t>
                        </m:r>
                      </m:num>
                      <m:den>
                        <m:r>
                          <a:rPr lang="en-US" sz="1100" b="0" i="1">
                            <a:latin typeface="Cambria Math"/>
                          </a:rPr>
                          <m:t>𝐶𝑢𝑟𝑟𝑒𝑛𝑡</m:t>
                        </m:r>
                        <m:r>
                          <a:rPr lang="en-US" sz="1100" b="0" i="1">
                            <a:latin typeface="Cambria Math"/>
                          </a:rPr>
                          <m:t> </m:t>
                        </m:r>
                        <m:r>
                          <a:rPr lang="en-US" sz="1100" b="0" i="1">
                            <a:latin typeface="Cambria Math"/>
                          </a:rPr>
                          <m:t>𝐿𝑖𝑎𝑏𝑖𝑙𝑖𝑡𝑖𝑒𝑠</m:t>
                        </m:r>
                      </m:den>
                    </m:f>
                  </m:oMath>
                </m:oMathPara>
              </a14:m>
              <a:endParaRPr lang="en-US" sz="1100"/>
            </a:p>
          </xdr:txBody>
        </xdr:sp>
      </mc:Choice>
      <mc:Fallback>
        <xdr:sp macro="" textlink="">
          <xdr:nvSpPr>
            <xdr:cNvPr id="2" name="TextBox 1"/>
            <xdr:cNvSpPr txBox="1"/>
          </xdr:nvSpPr>
          <xdr:spPr>
            <a:xfrm>
              <a:off x="4800600" y="180975"/>
              <a:ext cx="29718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𝐶𝑢𝑟𝑟𝑒𝑛𝑡 𝑅𝑎𝑡𝑖𝑜=  (𝐶𝑢𝑟𝑟𝑒𝑛𝑡 𝐴𝑠𝑠𝑒𝑡𝑠)/(𝐶𝑢𝑟𝑟𝑒𝑛𝑡 𝐿𝑖𝑎𝑏𝑖𝑙𝑖𝑡𝑖𝑒𝑠)</a:t>
              </a:r>
              <a:endParaRPr lang="en-US" sz="1100"/>
            </a:p>
          </xdr:txBody>
        </xdr:sp>
      </mc:Fallback>
    </mc:AlternateContent>
    <xdr:clientData/>
  </xdr:twoCellAnchor>
  <xdr:twoCellAnchor>
    <xdr:from>
      <xdr:col>7</xdr:col>
      <xdr:colOff>9524</xdr:colOff>
      <xdr:row>3</xdr:row>
      <xdr:rowOff>180976</xdr:rowOff>
    </xdr:from>
    <xdr:to>
      <xdr:col>14</xdr:col>
      <xdr:colOff>19050</xdr:colOff>
      <xdr:row>6</xdr:row>
      <xdr:rowOff>114300</xdr:rowOff>
    </xdr:to>
    <mc:AlternateContent xmlns:mc="http://schemas.openxmlformats.org/markup-compatibility/2006">
      <mc:Choice xmlns:a14="http://schemas.microsoft.com/office/drawing/2010/main" Requires="a14">
        <xdr:sp macro="" textlink="">
          <xdr:nvSpPr>
            <xdr:cNvPr id="3" name="TextBox 2"/>
            <xdr:cNvSpPr txBox="1"/>
          </xdr:nvSpPr>
          <xdr:spPr>
            <a:xfrm>
              <a:off x="4810124" y="733426"/>
              <a:ext cx="4276726"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Para xmlns:m="http://schemas.openxmlformats.org/officeDocument/2006/math">
                  <m:oMathParaPr>
                    <m:jc m:val="centerGroup"/>
                  </m:oMathParaPr>
                  <m:oMath xmlns:m="http://schemas.openxmlformats.org/officeDocument/2006/math">
                    <m:r>
                      <a:rPr lang="en-US" sz="1100" b="0" i="1">
                        <a:latin typeface="Cambria Math"/>
                      </a:rPr>
                      <m:t>𝐴𝑐𝑖𝑑</m:t>
                    </m:r>
                    <m:r>
                      <a:rPr lang="en-US" sz="1100" b="0" i="1">
                        <a:latin typeface="Cambria Math"/>
                      </a:rPr>
                      <m:t> </m:t>
                    </m:r>
                    <m:r>
                      <a:rPr lang="en-US" sz="1100" b="0" i="1">
                        <a:latin typeface="Cambria Math"/>
                      </a:rPr>
                      <m:t>𝑇𝑒𝑠𝑡</m:t>
                    </m:r>
                    <m:r>
                      <a:rPr lang="en-US" sz="1100" b="0" i="1">
                        <a:latin typeface="Cambria Math"/>
                      </a:rPr>
                      <m:t> </m:t>
                    </m:r>
                    <m:r>
                      <a:rPr lang="en-US" sz="1100" b="0" i="1">
                        <a:latin typeface="Cambria Math"/>
                      </a:rPr>
                      <m:t>𝑅𝑎𝑡𝑖𝑜</m:t>
                    </m:r>
                    <m:r>
                      <a:rPr lang="en-US" sz="1100" b="0" i="1">
                        <a:latin typeface="Cambria Math"/>
                      </a:rPr>
                      <m:t>= </m:t>
                    </m:r>
                    <m:f>
                      <m:fPr>
                        <m:ctrlPr>
                          <a:rPr lang="en-US" sz="1100" b="0" i="1">
                            <a:latin typeface="Cambria Math"/>
                          </a:rPr>
                        </m:ctrlPr>
                      </m:fPr>
                      <m:num>
                        <m:r>
                          <a:rPr lang="en-US" sz="1100" b="0" i="1">
                            <a:latin typeface="Cambria Math"/>
                          </a:rPr>
                          <m:t>𝐶𝑎𝑠h</m:t>
                        </m:r>
                        <m:r>
                          <a:rPr lang="en-US" sz="1100" b="0" i="1">
                            <a:latin typeface="Cambria Math"/>
                          </a:rPr>
                          <m:t>+</m:t>
                        </m:r>
                        <m:r>
                          <a:rPr lang="en-US" sz="1100" b="0" i="1">
                            <a:latin typeface="Cambria Math"/>
                          </a:rPr>
                          <m:t>𝐶𝑎𝑠h</m:t>
                        </m:r>
                        <m:r>
                          <a:rPr lang="en-US" sz="1100" b="0" i="1">
                            <a:latin typeface="Cambria Math"/>
                          </a:rPr>
                          <m:t> </m:t>
                        </m:r>
                        <m:r>
                          <a:rPr lang="en-US" sz="1100" b="0" i="1">
                            <a:latin typeface="Cambria Math"/>
                          </a:rPr>
                          <m:t>𝐸𝑞𝑢𝑣𝑎𝑙𝑒𝑛𝑡𝑠</m:t>
                        </m:r>
                        <m:r>
                          <a:rPr lang="en-US" sz="1100" b="0" i="1">
                            <a:latin typeface="Cambria Math"/>
                          </a:rPr>
                          <m:t>+</m:t>
                        </m:r>
                        <m:r>
                          <a:rPr lang="en-US" sz="1100" b="0" i="1">
                            <a:latin typeface="Cambria Math"/>
                          </a:rPr>
                          <m:t>𝐶𝑢𝑟𝑟𝑒𝑡</m:t>
                        </m:r>
                        <m:r>
                          <a:rPr lang="en-US" sz="1100" b="0" i="1">
                            <a:latin typeface="Cambria Math"/>
                          </a:rPr>
                          <m:t> </m:t>
                        </m:r>
                        <m:r>
                          <a:rPr lang="en-US" sz="1100" b="0" i="1">
                            <a:latin typeface="Cambria Math"/>
                          </a:rPr>
                          <m:t>𝑅𝑒𝑐𝑒𝑖𝑣𝑎𝑏𝑙𝑒𝑠</m:t>
                        </m:r>
                      </m:num>
                      <m:den>
                        <m:r>
                          <a:rPr lang="en-US" sz="1100" b="0" i="1">
                            <a:latin typeface="Cambria Math"/>
                          </a:rPr>
                          <m:t>𝐶𝑢𝑟𝑟𝑒𝑛𝑡</m:t>
                        </m:r>
                        <m:r>
                          <a:rPr lang="en-US" sz="1100" b="0" i="1">
                            <a:latin typeface="Cambria Math"/>
                          </a:rPr>
                          <m:t> </m:t>
                        </m:r>
                        <m:r>
                          <a:rPr lang="en-US" sz="1100" b="0" i="1">
                            <a:latin typeface="Cambria Math"/>
                          </a:rPr>
                          <m:t>𝐿𝑖𝑎𝑏𝑖𝑙𝑖𝑡𝑖𝑒𝑠</m:t>
                        </m:r>
                      </m:den>
                    </m:f>
                  </m:oMath>
                </m:oMathPara>
              </a14:m>
              <a:endParaRPr lang="en-US" sz="1100"/>
            </a:p>
          </xdr:txBody>
        </xdr:sp>
      </mc:Choice>
      <mc:Fallback>
        <xdr:sp macro="" textlink="">
          <xdr:nvSpPr>
            <xdr:cNvPr id="3" name="TextBox 2"/>
            <xdr:cNvSpPr txBox="1"/>
          </xdr:nvSpPr>
          <xdr:spPr>
            <a:xfrm>
              <a:off x="4810124" y="733426"/>
              <a:ext cx="4276726"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𝐴𝑐𝑖𝑑 𝑇𝑒𝑠𝑡 𝑅𝑎𝑡𝑖𝑜=  (𝐶𝑎𝑠ℎ+𝐶𝑎𝑠ℎ 𝐸𝑞𝑢𝑣𝑎𝑙𝑒𝑛𝑡𝑠+𝐶𝑢𝑟𝑟𝑒𝑡 𝑅𝑒𝑐𝑒𝑖𝑣𝑎𝑏𝑙𝑒𝑠)/(𝐶𝑢𝑟𝑟𝑒𝑛𝑡 𝐿𝑖𝑎𝑏𝑖𝑙𝑖𝑡𝑖𝑒𝑠)</a:t>
              </a:r>
              <a:endParaRPr lang="en-US" sz="1100"/>
            </a:p>
          </xdr:txBody>
        </xdr:sp>
      </mc:Fallback>
    </mc:AlternateContent>
    <xdr:clientData/>
  </xdr:twoCellAnchor>
  <xdr:twoCellAnchor>
    <xdr:from>
      <xdr:col>7</xdr:col>
      <xdr:colOff>9525</xdr:colOff>
      <xdr:row>7</xdr:row>
      <xdr:rowOff>57150</xdr:rowOff>
    </xdr:from>
    <xdr:to>
      <xdr:col>14</xdr:col>
      <xdr:colOff>19050</xdr:colOff>
      <xdr:row>9</xdr:row>
      <xdr:rowOff>161925</xdr:rowOff>
    </xdr:to>
    <mc:AlternateContent xmlns:mc="http://schemas.openxmlformats.org/markup-compatibility/2006">
      <mc:Choice xmlns:a14="http://schemas.microsoft.com/office/drawing/2010/main" Requires="a14">
        <xdr:sp macro="" textlink="">
          <xdr:nvSpPr>
            <xdr:cNvPr id="4" name="TextBox 3"/>
            <xdr:cNvSpPr txBox="1"/>
          </xdr:nvSpPr>
          <xdr:spPr>
            <a:xfrm>
              <a:off x="4810125" y="1409700"/>
              <a:ext cx="42767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Para xmlns:m="http://schemas.openxmlformats.org/officeDocument/2006/math">
                  <m:oMathParaPr>
                    <m:jc m:val="centerGroup"/>
                  </m:oMathParaPr>
                  <m:oMath xmlns:m="http://schemas.openxmlformats.org/officeDocument/2006/math">
                    <m:r>
                      <a:rPr lang="en-US" sz="1100" b="0" i="1">
                        <a:latin typeface="Cambria Math"/>
                      </a:rPr>
                      <m:t>𝐼𝑛𝑣𝑒𝑛𝑡𝑜𝑟𝑦</m:t>
                    </m:r>
                    <m:r>
                      <a:rPr lang="en-US" sz="1100" b="0" i="1">
                        <a:latin typeface="Cambria Math"/>
                      </a:rPr>
                      <m:t> </m:t>
                    </m:r>
                    <m:r>
                      <a:rPr lang="en-US" sz="1100" b="0" i="1">
                        <a:latin typeface="Cambria Math"/>
                      </a:rPr>
                      <m:t>𝑇𝑢𝑟𝑛𝑜𝑣𝑒𝑟</m:t>
                    </m:r>
                    <m:r>
                      <a:rPr lang="en-US" sz="1100" b="0" i="1">
                        <a:latin typeface="Cambria Math"/>
                      </a:rPr>
                      <m:t>= </m:t>
                    </m:r>
                    <m:f>
                      <m:fPr>
                        <m:ctrlPr>
                          <a:rPr lang="en-US" sz="1100" b="0" i="1">
                            <a:latin typeface="Cambria Math"/>
                          </a:rPr>
                        </m:ctrlPr>
                      </m:fPr>
                      <m:num>
                        <m:r>
                          <a:rPr lang="en-US" sz="1100" b="0" i="1">
                            <a:latin typeface="Cambria Math"/>
                          </a:rPr>
                          <m:t>𝐶𝑜𝑠𝑡</m:t>
                        </m:r>
                        <m:r>
                          <a:rPr lang="en-US" sz="1100" b="0" i="1">
                            <a:latin typeface="Cambria Math"/>
                          </a:rPr>
                          <m:t> </m:t>
                        </m:r>
                        <m:r>
                          <a:rPr lang="en-US" sz="1100" b="0" i="1">
                            <a:latin typeface="Cambria Math"/>
                          </a:rPr>
                          <m:t>𝑜𝑓</m:t>
                        </m:r>
                        <m:r>
                          <a:rPr lang="en-US" sz="1100" b="0" i="1">
                            <a:latin typeface="Cambria Math"/>
                          </a:rPr>
                          <m:t> </m:t>
                        </m:r>
                        <m:r>
                          <a:rPr lang="en-US" sz="1100" b="0" i="1">
                            <a:latin typeface="Cambria Math"/>
                          </a:rPr>
                          <m:t>𝐺𝑜𝑜𝑑</m:t>
                        </m:r>
                        <m:r>
                          <a:rPr lang="en-US" sz="1100" b="0" i="1">
                            <a:latin typeface="Cambria Math"/>
                          </a:rPr>
                          <m:t> </m:t>
                        </m:r>
                        <m:r>
                          <a:rPr lang="en-US" sz="1100" b="0" i="1">
                            <a:latin typeface="Cambria Math"/>
                          </a:rPr>
                          <m:t>𝑆𝑜𝑙𝑑</m:t>
                        </m:r>
                      </m:num>
                      <m:den>
                        <m:r>
                          <a:rPr lang="en-US" sz="1100" b="0" i="1">
                            <a:latin typeface="Cambria Math"/>
                          </a:rPr>
                          <m:t>𝐴𝑣𝑒𝑟𝑎𝑔𝑒</m:t>
                        </m:r>
                        <m:r>
                          <a:rPr lang="en-US" sz="1100" b="0" i="1">
                            <a:latin typeface="Cambria Math"/>
                          </a:rPr>
                          <m:t> </m:t>
                        </m:r>
                        <m:r>
                          <a:rPr lang="en-US" sz="1100" b="0" i="1">
                            <a:latin typeface="Cambria Math"/>
                          </a:rPr>
                          <m:t>𝐼𝑛𝑣𝑒𝑛𝑡𝑜𝑟𝑦</m:t>
                        </m:r>
                        <m:r>
                          <a:rPr lang="en-US" sz="1100" b="0" i="1">
                            <a:latin typeface="Cambria Math"/>
                          </a:rPr>
                          <m:t> </m:t>
                        </m:r>
                      </m:den>
                    </m:f>
                  </m:oMath>
                </m:oMathPara>
              </a14:m>
              <a:endParaRPr lang="en-US" sz="1100"/>
            </a:p>
          </xdr:txBody>
        </xdr:sp>
      </mc:Choice>
      <mc:Fallback>
        <xdr:sp macro="" textlink="">
          <xdr:nvSpPr>
            <xdr:cNvPr id="4" name="TextBox 3"/>
            <xdr:cNvSpPr txBox="1"/>
          </xdr:nvSpPr>
          <xdr:spPr>
            <a:xfrm>
              <a:off x="4810125" y="1409700"/>
              <a:ext cx="42767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𝐼𝑛𝑣𝑒𝑛𝑡𝑜𝑟𝑦 𝑇𝑢𝑟𝑛𝑜𝑣𝑒𝑟=  (𝐶𝑜𝑠𝑡 𝑜𝑓 𝐺𝑜𝑜𝑑 𝑆𝑜𝑙𝑑)/(𝐴𝑣𝑒𝑟𝑎𝑔𝑒 𝐼𝑛𝑣𝑒𝑛𝑡𝑜𝑟𝑦 )</a:t>
              </a:r>
              <a:endParaRPr lang="en-US" sz="1100"/>
            </a:p>
          </xdr:txBody>
        </xdr:sp>
      </mc:Fallback>
    </mc:AlternateContent>
    <xdr:clientData/>
  </xdr:twoCellAnchor>
  <xdr:twoCellAnchor>
    <xdr:from>
      <xdr:col>7</xdr:col>
      <xdr:colOff>9525</xdr:colOff>
      <xdr:row>10</xdr:row>
      <xdr:rowOff>85725</xdr:rowOff>
    </xdr:from>
    <xdr:to>
      <xdr:col>14</xdr:col>
      <xdr:colOff>0</xdr:colOff>
      <xdr:row>12</xdr:row>
      <xdr:rowOff>9525</xdr:rowOff>
    </xdr:to>
    <mc:AlternateContent xmlns:mc="http://schemas.openxmlformats.org/markup-compatibility/2006">
      <mc:Choice xmlns:a14="http://schemas.microsoft.com/office/drawing/2010/main" Requires="a14">
        <xdr:sp macro="" textlink="">
          <xdr:nvSpPr>
            <xdr:cNvPr id="5" name="TextBox 4"/>
            <xdr:cNvSpPr txBox="1"/>
          </xdr:nvSpPr>
          <xdr:spPr>
            <a:xfrm>
              <a:off x="4810125" y="1981200"/>
              <a:ext cx="425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Para xmlns:m="http://schemas.openxmlformats.org/officeDocument/2006/math">
                  <m:oMathParaPr>
                    <m:jc m:val="centerGroup"/>
                  </m:oMathParaPr>
                  <m:oMath xmlns:m="http://schemas.openxmlformats.org/officeDocument/2006/math">
                    <m:r>
                      <a:rPr lang="en-US" sz="1100" b="0" i="1">
                        <a:latin typeface="Cambria Math"/>
                      </a:rPr>
                      <m:t>𝐴𝑣𝑒𝑟𝑎𝑔𝑒</m:t>
                    </m:r>
                    <m:r>
                      <a:rPr lang="en-US" sz="1100" b="0" i="1">
                        <a:latin typeface="Cambria Math"/>
                      </a:rPr>
                      <m:t> </m:t>
                    </m:r>
                    <m:r>
                      <a:rPr lang="en-US" sz="1100" b="0" i="1">
                        <a:latin typeface="Cambria Math"/>
                      </a:rPr>
                      <m:t>𝐼𝑛𝑣𝑒𝑛𝑡𝑜𝑟𝑦</m:t>
                    </m:r>
                    <m:r>
                      <a:rPr lang="en-US" sz="1100" b="0" i="1">
                        <a:latin typeface="Cambria Math"/>
                      </a:rPr>
                      <m:t>= </m:t>
                    </m:r>
                    <m:f>
                      <m:fPr>
                        <m:ctrlPr>
                          <a:rPr lang="en-US" sz="1100" b="0" i="1">
                            <a:latin typeface="Cambria Math"/>
                          </a:rPr>
                        </m:ctrlPr>
                      </m:fPr>
                      <m:num>
                        <m:r>
                          <a:rPr lang="en-US" sz="1100" b="0" i="1">
                            <a:latin typeface="Cambria Math"/>
                          </a:rPr>
                          <m:t>𝐵𝑒𝑔𝑖𝑛𝑛𝑖𝑛𝑔</m:t>
                        </m:r>
                        <m:r>
                          <a:rPr lang="en-US" sz="1100" b="0" i="1">
                            <a:latin typeface="Cambria Math"/>
                          </a:rPr>
                          <m:t> </m:t>
                        </m:r>
                        <m:r>
                          <a:rPr lang="en-US" sz="1100" b="0" i="1">
                            <a:latin typeface="Cambria Math"/>
                          </a:rPr>
                          <m:t>𝐼𝑛𝑣𝑒𝑛𝑡𝑜𝑟𝑦</m:t>
                        </m:r>
                        <m:r>
                          <a:rPr lang="en-US" sz="1100" b="0" i="1">
                            <a:latin typeface="Cambria Math"/>
                          </a:rPr>
                          <m:t>+</m:t>
                        </m:r>
                        <m:r>
                          <a:rPr lang="en-US" sz="1100" b="0" i="1">
                            <a:latin typeface="Cambria Math"/>
                          </a:rPr>
                          <m:t>𝐸𝑛𝑑𝑖𝑛𝑔</m:t>
                        </m:r>
                        <m:r>
                          <a:rPr lang="en-US" sz="1100" b="0" i="1">
                            <a:latin typeface="Cambria Math"/>
                          </a:rPr>
                          <m:t> </m:t>
                        </m:r>
                        <m:r>
                          <a:rPr lang="en-US" sz="1100" b="0" i="1">
                            <a:latin typeface="Cambria Math"/>
                          </a:rPr>
                          <m:t>𝐼𝑛𝑣𝑒𝑛𝑡𝑜𝑟𝑦</m:t>
                        </m:r>
                      </m:num>
                      <m:den>
                        <m:r>
                          <a:rPr lang="en-US" sz="1100" b="0" i="1">
                            <a:latin typeface="Cambria Math"/>
                          </a:rPr>
                          <m:t>2</m:t>
                        </m:r>
                      </m:den>
                    </m:f>
                  </m:oMath>
                </m:oMathPara>
              </a14:m>
              <a:endParaRPr lang="en-US" sz="1100"/>
            </a:p>
          </xdr:txBody>
        </xdr:sp>
      </mc:Choice>
      <mc:Fallback>
        <xdr:sp macro="" textlink="">
          <xdr:nvSpPr>
            <xdr:cNvPr id="5" name="TextBox 4"/>
            <xdr:cNvSpPr txBox="1"/>
          </xdr:nvSpPr>
          <xdr:spPr>
            <a:xfrm>
              <a:off x="4810125" y="1981200"/>
              <a:ext cx="425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a:rPr>
                <a:t>𝐴𝑣𝑒𝑟𝑎𝑔𝑒 𝐼𝑛𝑣𝑒𝑛𝑡𝑜𝑟𝑦=  (𝐵𝑒𝑔𝑖𝑛𝑛𝑖𝑛𝑔 𝐼𝑛𝑣𝑒𝑛𝑡𝑜𝑟𝑦+𝐸𝑛𝑑𝑖𝑛𝑔 𝐼𝑛𝑣𝑒𝑛𝑡𝑜𝑟𝑦)/2</a:t>
              </a:r>
              <a:endParaRPr lang="en-US" sz="1100"/>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8" sqref="O28"/>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election activeCell="J17" sqref="J17"/>
    </sheetView>
  </sheetViews>
  <sheetFormatPr defaultRowHeight="12.75" x14ac:dyDescent="0.2"/>
  <cols>
    <col min="2" max="2" width="11.42578125" bestFit="1" customWidth="1"/>
    <col min="3" max="3" width="11.42578125" customWidth="1"/>
    <col min="8" max="8" width="11.42578125" bestFit="1" customWidth="1"/>
    <col min="9" max="9" width="14" bestFit="1" customWidth="1"/>
  </cols>
  <sheetData>
    <row r="1" spans="1:9" ht="12.75" customHeight="1" x14ac:dyDescent="0.2">
      <c r="A1" s="168" t="s">
        <v>50</v>
      </c>
      <c r="B1" s="169"/>
      <c r="C1" s="28"/>
      <c r="D1" s="168" t="s">
        <v>50</v>
      </c>
      <c r="E1" s="169"/>
      <c r="G1" s="168" t="s">
        <v>50</v>
      </c>
      <c r="H1" s="168"/>
      <c r="I1" s="168"/>
    </row>
    <row r="2" spans="1:9" ht="13.5" thickBot="1" x14ac:dyDescent="0.25">
      <c r="A2" s="33" t="s">
        <v>48</v>
      </c>
      <c r="B2" s="33" t="s">
        <v>49</v>
      </c>
      <c r="C2" s="33"/>
      <c r="D2" s="33" t="s">
        <v>48</v>
      </c>
      <c r="E2" s="34" t="s">
        <v>51</v>
      </c>
      <c r="G2" s="31" t="s">
        <v>48</v>
      </c>
      <c r="H2" s="31" t="s">
        <v>49</v>
      </c>
      <c r="I2" s="32" t="s">
        <v>51</v>
      </c>
    </row>
    <row r="3" spans="1:9" ht="13.5" thickTop="1" x14ac:dyDescent="0.2">
      <c r="A3" s="30">
        <v>0.75</v>
      </c>
      <c r="B3">
        <v>1000</v>
      </c>
      <c r="D3" s="30">
        <v>0.75</v>
      </c>
      <c r="E3">
        <v>500</v>
      </c>
      <c r="G3" s="30">
        <v>0.75</v>
      </c>
      <c r="H3">
        <v>1000</v>
      </c>
      <c r="I3">
        <v>500</v>
      </c>
    </row>
    <row r="4" spans="1:9" x14ac:dyDescent="0.2">
      <c r="A4" s="30">
        <v>1</v>
      </c>
      <c r="B4">
        <v>900</v>
      </c>
      <c r="D4" s="30">
        <v>1</v>
      </c>
      <c r="E4">
        <v>650</v>
      </c>
      <c r="G4" s="30">
        <v>1</v>
      </c>
      <c r="H4">
        <v>900</v>
      </c>
      <c r="I4">
        <v>650</v>
      </c>
    </row>
    <row r="5" spans="1:9" x14ac:dyDescent="0.2">
      <c r="A5" s="30">
        <v>1.25</v>
      </c>
      <c r="B5">
        <v>800</v>
      </c>
      <c r="D5" s="30">
        <v>1.25</v>
      </c>
      <c r="E5">
        <v>800</v>
      </c>
      <c r="G5" s="30">
        <v>1.25</v>
      </c>
      <c r="H5">
        <v>800</v>
      </c>
      <c r="I5">
        <v>800</v>
      </c>
    </row>
    <row r="6" spans="1:9" x14ac:dyDescent="0.2">
      <c r="A6" s="30">
        <v>1.5</v>
      </c>
      <c r="B6">
        <v>700</v>
      </c>
      <c r="D6" s="30">
        <v>1.5</v>
      </c>
      <c r="E6">
        <v>1000</v>
      </c>
      <c r="G6" s="30">
        <v>1.5</v>
      </c>
      <c r="H6">
        <v>700</v>
      </c>
      <c r="I6">
        <v>1000</v>
      </c>
    </row>
    <row r="7" spans="1:9" x14ac:dyDescent="0.2">
      <c r="A7" s="30">
        <v>1.75</v>
      </c>
      <c r="B7">
        <v>600</v>
      </c>
      <c r="D7" s="30">
        <v>1.75</v>
      </c>
      <c r="E7">
        <v>1400</v>
      </c>
      <c r="G7" s="30">
        <v>1.75</v>
      </c>
      <c r="H7">
        <v>600</v>
      </c>
      <c r="I7">
        <v>1400</v>
      </c>
    </row>
    <row r="8" spans="1:9" x14ac:dyDescent="0.2">
      <c r="A8" s="30">
        <v>2</v>
      </c>
      <c r="B8">
        <v>500</v>
      </c>
      <c r="D8" s="30">
        <v>2</v>
      </c>
      <c r="E8">
        <v>1500</v>
      </c>
      <c r="G8" s="30">
        <v>2</v>
      </c>
      <c r="H8">
        <v>500</v>
      </c>
      <c r="I8">
        <v>1500</v>
      </c>
    </row>
    <row r="11" spans="1:9" x14ac:dyDescent="0.2">
      <c r="A11" s="168" t="s">
        <v>62</v>
      </c>
      <c r="B11" s="169"/>
      <c r="C11" s="29"/>
      <c r="D11" s="168" t="s">
        <v>62</v>
      </c>
      <c r="E11" s="169"/>
      <c r="G11" s="168" t="s">
        <v>62</v>
      </c>
      <c r="H11" s="168"/>
      <c r="I11" s="168"/>
    </row>
    <row r="12" spans="1:9" ht="13.5" thickBot="1" x14ac:dyDescent="0.25">
      <c r="A12" s="33" t="s">
        <v>48</v>
      </c>
      <c r="B12" s="33" t="s">
        <v>49</v>
      </c>
      <c r="C12" s="33"/>
      <c r="D12" s="33" t="s">
        <v>48</v>
      </c>
      <c r="E12" s="34" t="s">
        <v>51</v>
      </c>
      <c r="G12" s="31" t="s">
        <v>48</v>
      </c>
      <c r="H12" s="31" t="s">
        <v>49</v>
      </c>
      <c r="I12" s="32" t="s">
        <v>51</v>
      </c>
    </row>
    <row r="13" spans="1:9" ht="13.5" thickTop="1" x14ac:dyDescent="0.2">
      <c r="A13" s="30">
        <v>1</v>
      </c>
      <c r="B13">
        <v>1200</v>
      </c>
      <c r="D13" s="30">
        <v>1</v>
      </c>
      <c r="E13">
        <v>500</v>
      </c>
      <c r="G13" s="30">
        <v>1</v>
      </c>
      <c r="H13">
        <v>1200</v>
      </c>
      <c r="I13">
        <v>500</v>
      </c>
    </row>
    <row r="14" spans="1:9" x14ac:dyDescent="0.2">
      <c r="A14" s="30">
        <v>1.25</v>
      </c>
      <c r="B14">
        <v>1100</v>
      </c>
      <c r="D14" s="30">
        <v>1.25</v>
      </c>
      <c r="E14">
        <v>600</v>
      </c>
      <c r="G14" s="30">
        <v>1.25</v>
      </c>
      <c r="H14">
        <v>1100</v>
      </c>
      <c r="I14">
        <v>600</v>
      </c>
    </row>
    <row r="15" spans="1:9" x14ac:dyDescent="0.2">
      <c r="A15" s="30">
        <v>1.5</v>
      </c>
      <c r="B15">
        <v>900</v>
      </c>
      <c r="D15" s="30">
        <v>1.5</v>
      </c>
      <c r="E15">
        <v>700</v>
      </c>
      <c r="G15" s="30">
        <v>1.5</v>
      </c>
      <c r="H15">
        <v>900</v>
      </c>
      <c r="I15">
        <v>700</v>
      </c>
    </row>
    <row r="16" spans="1:9" x14ac:dyDescent="0.2">
      <c r="A16" s="30">
        <v>1.75</v>
      </c>
      <c r="B16">
        <v>800</v>
      </c>
      <c r="D16" s="30">
        <v>1.75</v>
      </c>
      <c r="E16">
        <v>900</v>
      </c>
      <c r="G16" s="30">
        <v>1.75</v>
      </c>
      <c r="H16">
        <v>800</v>
      </c>
      <c r="I16">
        <v>900</v>
      </c>
    </row>
    <row r="17" spans="1:9" x14ac:dyDescent="0.2">
      <c r="A17" s="30">
        <v>2</v>
      </c>
      <c r="B17">
        <v>700</v>
      </c>
      <c r="D17" s="30">
        <v>2</v>
      </c>
      <c r="E17">
        <v>1000</v>
      </c>
      <c r="G17" s="30">
        <v>2</v>
      </c>
      <c r="H17">
        <v>700</v>
      </c>
      <c r="I17">
        <v>1000</v>
      </c>
    </row>
    <row r="18" spans="1:9" x14ac:dyDescent="0.2">
      <c r="A18" s="30">
        <v>2.25</v>
      </c>
      <c r="B18">
        <v>400</v>
      </c>
      <c r="D18" s="30">
        <v>2.25</v>
      </c>
      <c r="E18">
        <v>1400</v>
      </c>
      <c r="G18" s="30">
        <v>2.25</v>
      </c>
      <c r="H18">
        <v>400</v>
      </c>
      <c r="I18">
        <v>1400</v>
      </c>
    </row>
    <row r="21" spans="1:9" ht="12.75" customHeight="1" x14ac:dyDescent="0.2">
      <c r="A21" s="168" t="s">
        <v>63</v>
      </c>
      <c r="B21" s="169"/>
      <c r="C21" s="29"/>
      <c r="D21" s="168" t="s">
        <v>63</v>
      </c>
      <c r="E21" s="169"/>
      <c r="G21" s="168" t="s">
        <v>63</v>
      </c>
      <c r="H21" s="168"/>
      <c r="I21" s="168"/>
    </row>
    <row r="22" spans="1:9" ht="13.5" thickBot="1" x14ac:dyDescent="0.25">
      <c r="A22" s="33" t="s">
        <v>48</v>
      </c>
      <c r="B22" s="33" t="s">
        <v>49</v>
      </c>
      <c r="C22" s="33"/>
      <c r="D22" s="33" t="s">
        <v>48</v>
      </c>
      <c r="E22" s="34" t="s">
        <v>51</v>
      </c>
      <c r="G22" s="31" t="s">
        <v>48</v>
      </c>
      <c r="H22" s="31" t="s">
        <v>49</v>
      </c>
      <c r="I22" s="32" t="s">
        <v>51</v>
      </c>
    </row>
    <row r="23" spans="1:9" ht="13.5" thickTop="1" x14ac:dyDescent="0.2">
      <c r="A23" s="30">
        <v>1.75</v>
      </c>
      <c r="B23">
        <v>1500</v>
      </c>
      <c r="D23" s="30">
        <v>1.75</v>
      </c>
      <c r="E23">
        <v>800</v>
      </c>
      <c r="G23" s="30">
        <v>1.75</v>
      </c>
      <c r="H23">
        <v>1500</v>
      </c>
      <c r="I23">
        <v>800</v>
      </c>
    </row>
    <row r="24" spans="1:9" x14ac:dyDescent="0.2">
      <c r="A24" s="30">
        <v>2</v>
      </c>
      <c r="B24">
        <v>1400</v>
      </c>
      <c r="D24" s="30">
        <v>2</v>
      </c>
      <c r="E24">
        <v>900</v>
      </c>
      <c r="G24" s="30">
        <v>2</v>
      </c>
      <c r="H24">
        <v>1400</v>
      </c>
      <c r="I24">
        <v>900</v>
      </c>
    </row>
    <row r="25" spans="1:9" x14ac:dyDescent="0.2">
      <c r="A25" s="30">
        <v>2.25</v>
      </c>
      <c r="B25">
        <v>1200</v>
      </c>
      <c r="D25" s="30">
        <v>2.25</v>
      </c>
      <c r="E25">
        <v>1000</v>
      </c>
      <c r="G25" s="30">
        <v>2.25</v>
      </c>
      <c r="H25">
        <v>1200</v>
      </c>
      <c r="I25">
        <v>1000</v>
      </c>
    </row>
    <row r="26" spans="1:9" x14ac:dyDescent="0.2">
      <c r="A26" s="30">
        <v>2.5</v>
      </c>
      <c r="B26">
        <v>1000</v>
      </c>
      <c r="D26" s="30">
        <v>2.5</v>
      </c>
      <c r="E26">
        <v>1200</v>
      </c>
      <c r="G26" s="30">
        <v>2.5</v>
      </c>
      <c r="H26">
        <v>1000</v>
      </c>
      <c r="I26">
        <v>1200</v>
      </c>
    </row>
    <row r="27" spans="1:9" x14ac:dyDescent="0.2">
      <c r="A27" s="30">
        <v>2.75</v>
      </c>
      <c r="B27">
        <v>800</v>
      </c>
      <c r="D27" s="30">
        <v>2.75</v>
      </c>
      <c r="E27">
        <v>1400</v>
      </c>
      <c r="G27" s="30">
        <v>2.75</v>
      </c>
      <c r="H27">
        <v>800</v>
      </c>
      <c r="I27">
        <v>1400</v>
      </c>
    </row>
    <row r="28" spans="1:9" x14ac:dyDescent="0.2">
      <c r="A28" s="30">
        <v>3</v>
      </c>
      <c r="B28">
        <v>700</v>
      </c>
      <c r="D28" s="30">
        <v>3</v>
      </c>
      <c r="E28">
        <v>1600</v>
      </c>
      <c r="G28" s="30">
        <v>3</v>
      </c>
      <c r="H28">
        <v>700</v>
      </c>
      <c r="I28">
        <v>1600</v>
      </c>
    </row>
    <row r="31" spans="1:9" x14ac:dyDescent="0.2">
      <c r="A31" s="168" t="s">
        <v>32</v>
      </c>
      <c r="B31" s="169"/>
      <c r="C31" s="35"/>
      <c r="D31" s="168" t="s">
        <v>32</v>
      </c>
      <c r="E31" s="169"/>
      <c r="G31" s="168" t="s">
        <v>32</v>
      </c>
      <c r="H31" s="168"/>
      <c r="I31" s="168"/>
    </row>
    <row r="32" spans="1:9" ht="13.5" thickBot="1" x14ac:dyDescent="0.25">
      <c r="A32" s="33" t="s">
        <v>48</v>
      </c>
      <c r="B32" s="33" t="s">
        <v>49</v>
      </c>
      <c r="C32" s="33"/>
      <c r="D32" s="33" t="s">
        <v>48</v>
      </c>
      <c r="E32" s="34" t="s">
        <v>51</v>
      </c>
      <c r="G32" s="31" t="s">
        <v>48</v>
      </c>
      <c r="H32" s="31" t="s">
        <v>49</v>
      </c>
      <c r="I32" s="32" t="s">
        <v>51</v>
      </c>
    </row>
    <row r="33" spans="1:9" ht="13.5" thickTop="1" x14ac:dyDescent="0.2">
      <c r="A33" s="30">
        <v>16</v>
      </c>
      <c r="B33">
        <v>1400</v>
      </c>
      <c r="D33" s="30">
        <v>16</v>
      </c>
      <c r="E33">
        <v>600</v>
      </c>
      <c r="G33" s="30">
        <v>16</v>
      </c>
      <c r="H33">
        <v>1400</v>
      </c>
      <c r="I33">
        <v>600</v>
      </c>
    </row>
    <row r="34" spans="1:9" x14ac:dyDescent="0.2">
      <c r="A34" s="30">
        <v>18</v>
      </c>
      <c r="B34">
        <v>1200</v>
      </c>
      <c r="D34" s="30">
        <v>18</v>
      </c>
      <c r="E34">
        <v>700</v>
      </c>
      <c r="G34" s="30">
        <v>18</v>
      </c>
      <c r="H34">
        <v>1200</v>
      </c>
      <c r="I34">
        <v>700</v>
      </c>
    </row>
    <row r="35" spans="1:9" x14ac:dyDescent="0.2">
      <c r="A35" s="30">
        <v>20</v>
      </c>
      <c r="B35">
        <v>1100</v>
      </c>
      <c r="D35" s="30">
        <v>20</v>
      </c>
      <c r="E35">
        <v>800</v>
      </c>
      <c r="G35" s="30">
        <v>20</v>
      </c>
      <c r="H35">
        <v>1100</v>
      </c>
      <c r="I35">
        <v>800</v>
      </c>
    </row>
    <row r="36" spans="1:9" x14ac:dyDescent="0.2">
      <c r="A36" s="30">
        <v>22</v>
      </c>
      <c r="B36">
        <v>1000</v>
      </c>
      <c r="D36" s="30">
        <v>22</v>
      </c>
      <c r="E36">
        <v>1000</v>
      </c>
      <c r="G36" s="30">
        <v>22</v>
      </c>
      <c r="H36">
        <v>1000</v>
      </c>
      <c r="I36">
        <v>1000</v>
      </c>
    </row>
    <row r="37" spans="1:9" x14ac:dyDescent="0.2">
      <c r="A37" s="30">
        <v>24</v>
      </c>
      <c r="B37">
        <v>900</v>
      </c>
      <c r="D37" s="30">
        <v>24</v>
      </c>
      <c r="E37">
        <v>1200</v>
      </c>
      <c r="G37" s="30">
        <v>24</v>
      </c>
      <c r="H37">
        <v>900</v>
      </c>
      <c r="I37">
        <v>1200</v>
      </c>
    </row>
    <row r="38" spans="1:9" x14ac:dyDescent="0.2">
      <c r="A38" s="30">
        <v>26</v>
      </c>
      <c r="B38">
        <v>800</v>
      </c>
      <c r="D38" s="30">
        <v>26</v>
      </c>
      <c r="E38">
        <v>1400</v>
      </c>
      <c r="G38" s="30">
        <v>26</v>
      </c>
      <c r="H38">
        <v>800</v>
      </c>
      <c r="I38">
        <v>1400</v>
      </c>
    </row>
  </sheetData>
  <sheetProtection sheet="1" objects="1" scenarios="1" selectLockedCells="1"/>
  <mergeCells count="12">
    <mergeCell ref="A1:B1"/>
    <mergeCell ref="D1:E1"/>
    <mergeCell ref="G1:I1"/>
    <mergeCell ref="A11:B11"/>
    <mergeCell ref="D11:E11"/>
    <mergeCell ref="G11:I11"/>
    <mergeCell ref="A31:B31"/>
    <mergeCell ref="D31:E31"/>
    <mergeCell ref="G31:I31"/>
    <mergeCell ref="A21:B21"/>
    <mergeCell ref="D21:E21"/>
    <mergeCell ref="G21:I2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7" sqref="N7"/>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G27" sqref="G27"/>
    </sheetView>
  </sheetViews>
  <sheetFormatPr defaultRowHeight="12.75" x14ac:dyDescent="0.2"/>
  <cols>
    <col min="1" max="1" width="23.85546875" customWidth="1"/>
    <col min="2" max="2" width="14" customWidth="1"/>
    <col min="3" max="3" width="12.85546875" customWidth="1"/>
    <col min="4" max="4" width="14.5703125" customWidth="1"/>
    <col min="5" max="5" width="12.140625" bestFit="1" customWidth="1"/>
    <col min="6" max="6" width="12.42578125" customWidth="1"/>
    <col min="7" max="7" width="12" customWidth="1"/>
    <col min="8" max="8" width="11.5703125" customWidth="1"/>
    <col min="10" max="10" width="15.42578125" bestFit="1" customWidth="1"/>
    <col min="11" max="11" width="12.28515625" customWidth="1"/>
  </cols>
  <sheetData>
    <row r="1" spans="1:11" ht="39.75" customHeight="1" x14ac:dyDescent="0.2">
      <c r="A1" s="170" t="s">
        <v>106</v>
      </c>
      <c r="B1" s="170"/>
      <c r="C1" s="170"/>
      <c r="D1" s="170"/>
      <c r="E1" s="170"/>
    </row>
    <row r="2" spans="1:11" ht="14.25" x14ac:dyDescent="0.2">
      <c r="J2" s="89"/>
      <c r="K2" s="89"/>
    </row>
    <row r="3" spans="1:11" ht="15" x14ac:dyDescent="0.25">
      <c r="J3" s="95" t="s">
        <v>47</v>
      </c>
      <c r="K3" s="95"/>
    </row>
    <row r="4" spans="1:11" ht="14.25" x14ac:dyDescent="0.2">
      <c r="J4" s="54" t="s">
        <v>1</v>
      </c>
      <c r="K4" s="54">
        <v>0</v>
      </c>
    </row>
    <row r="5" spans="1:11" ht="14.25" x14ac:dyDescent="0.2">
      <c r="J5" s="54" t="s">
        <v>2</v>
      </c>
      <c r="K5" s="54">
        <v>0</v>
      </c>
    </row>
    <row r="6" spans="1:11" ht="14.25" x14ac:dyDescent="0.2">
      <c r="J6" s="54" t="s">
        <v>3</v>
      </c>
      <c r="K6" s="54">
        <v>100</v>
      </c>
    </row>
    <row r="7" spans="1:11" ht="14.25" x14ac:dyDescent="0.2">
      <c r="J7" s="54" t="s">
        <v>4</v>
      </c>
      <c r="K7" s="54">
        <v>0</v>
      </c>
    </row>
    <row r="8" spans="1:11" ht="14.25" x14ac:dyDescent="0.2">
      <c r="A8" s="5"/>
      <c r="B8" s="5"/>
      <c r="C8" s="5"/>
      <c r="D8" s="5"/>
      <c r="E8" s="5"/>
      <c r="F8" s="6"/>
      <c r="G8" s="3"/>
      <c r="H8" s="3"/>
      <c r="J8" s="54" t="s">
        <v>37</v>
      </c>
      <c r="K8" s="54">
        <v>60</v>
      </c>
    </row>
    <row r="9" spans="1:11" ht="29.25" thickBot="1" x14ac:dyDescent="0.25">
      <c r="A9" s="85" t="s">
        <v>16</v>
      </c>
      <c r="B9" s="107" t="s">
        <v>105</v>
      </c>
      <c r="C9" s="107" t="s">
        <v>104</v>
      </c>
      <c r="E9" s="84"/>
      <c r="F9" s="14"/>
      <c r="G9" s="3"/>
      <c r="J9" s="54" t="s">
        <v>36</v>
      </c>
      <c r="K9" s="54">
        <v>175</v>
      </c>
    </row>
    <row r="10" spans="1:11" ht="14.25" x14ac:dyDescent="0.2">
      <c r="A10" s="50" t="s">
        <v>32</v>
      </c>
      <c r="B10" s="117">
        <v>22</v>
      </c>
      <c r="C10" s="109">
        <v>1000</v>
      </c>
      <c r="E10" s="84"/>
      <c r="F10" s="14"/>
      <c r="G10" s="3"/>
      <c r="H10" s="113"/>
      <c r="I10" s="3"/>
      <c r="J10" s="54" t="s">
        <v>5</v>
      </c>
      <c r="K10" s="54">
        <v>0</v>
      </c>
    </row>
    <row r="11" spans="1:11" ht="12.75" customHeight="1" x14ac:dyDescent="0.2">
      <c r="A11" s="54" t="s">
        <v>50</v>
      </c>
      <c r="B11" s="87">
        <v>1.25</v>
      </c>
      <c r="C11" s="109">
        <v>800</v>
      </c>
      <c r="E11" s="88"/>
      <c r="F11" s="17"/>
      <c r="G11" s="3"/>
      <c r="J11" s="54" t="s">
        <v>6</v>
      </c>
      <c r="K11" s="54">
        <v>1000</v>
      </c>
    </row>
    <row r="12" spans="1:11" s="113" customFormat="1" ht="14.25" x14ac:dyDescent="0.2">
      <c r="A12" s="54" t="s">
        <v>62</v>
      </c>
      <c r="B12" s="87">
        <v>1.75</v>
      </c>
      <c r="C12" s="109">
        <v>900</v>
      </c>
      <c r="E12" s="88"/>
      <c r="F12" s="17"/>
      <c r="G12" s="3"/>
      <c r="H12"/>
      <c r="J12" s="54" t="s">
        <v>7</v>
      </c>
      <c r="K12" s="54">
        <v>50</v>
      </c>
    </row>
    <row r="13" spans="1:11" ht="15" thickBot="1" x14ac:dyDescent="0.25">
      <c r="A13" s="54" t="s">
        <v>63</v>
      </c>
      <c r="B13" s="87">
        <v>2.5</v>
      </c>
      <c r="C13" s="110">
        <v>1200</v>
      </c>
      <c r="E13" s="88"/>
      <c r="F13" s="17"/>
      <c r="G13" s="3"/>
      <c r="J13" s="54" t="s">
        <v>8</v>
      </c>
      <c r="K13" s="54">
        <v>0</v>
      </c>
    </row>
    <row r="14" spans="1:11" ht="15.75" thickTop="1" x14ac:dyDescent="0.25">
      <c r="A14" s="52"/>
      <c r="B14" s="52"/>
      <c r="C14" s="111">
        <f>SUM(C10:C13)</f>
        <v>3900</v>
      </c>
      <c r="E14" s="88"/>
      <c r="F14" s="39"/>
      <c r="G14" s="3"/>
      <c r="J14" s="54" t="s">
        <v>9</v>
      </c>
      <c r="K14" s="54">
        <v>85</v>
      </c>
    </row>
    <row r="15" spans="1:11" ht="15.75" thickBot="1" x14ac:dyDescent="0.3">
      <c r="A15" s="50"/>
      <c r="B15" s="89"/>
      <c r="C15" s="90"/>
      <c r="D15" s="91"/>
      <c r="E15" s="88"/>
      <c r="F15" s="3"/>
      <c r="G15" s="3"/>
      <c r="J15" s="54" t="s">
        <v>10</v>
      </c>
      <c r="K15" s="54">
        <v>0</v>
      </c>
    </row>
    <row r="16" spans="1:11" ht="15" thickTop="1" x14ac:dyDescent="0.2">
      <c r="A16" s="50"/>
      <c r="B16" s="84" t="s">
        <v>12</v>
      </c>
      <c r="C16" s="84" t="s">
        <v>13</v>
      </c>
      <c r="D16" s="84"/>
      <c r="E16" s="84"/>
      <c r="F16" s="84" t="s">
        <v>14</v>
      </c>
      <c r="G16" s="84" t="s">
        <v>15</v>
      </c>
      <c r="H16" s="50"/>
      <c r="J16" s="50" t="s">
        <v>11</v>
      </c>
      <c r="K16" s="96">
        <f>SUM(K4:K15)</f>
        <v>1470</v>
      </c>
    </row>
    <row r="17" spans="1:9" ht="15" thickBot="1" x14ac:dyDescent="0.25">
      <c r="A17" s="53" t="s">
        <v>16</v>
      </c>
      <c r="B17" s="97" t="s">
        <v>13</v>
      </c>
      <c r="C17" s="97" t="s">
        <v>17</v>
      </c>
      <c r="D17" s="97" t="s">
        <v>18</v>
      </c>
      <c r="E17" s="97" t="s">
        <v>19</v>
      </c>
      <c r="F17" s="97" t="s">
        <v>20</v>
      </c>
      <c r="G17" s="97" t="s">
        <v>21</v>
      </c>
      <c r="H17" s="50"/>
    </row>
    <row r="18" spans="1:9" ht="15" thickTop="1" x14ac:dyDescent="0.2">
      <c r="A18" s="54" t="s">
        <v>70</v>
      </c>
      <c r="B18" s="94">
        <f>SUM($C$10/$C$14)</f>
        <v>0.25641025641025639</v>
      </c>
      <c r="C18" s="87">
        <f>B10</f>
        <v>22</v>
      </c>
      <c r="D18" s="112">
        <v>10.4</v>
      </c>
      <c r="E18" s="50">
        <f>SUM(C18-D18)</f>
        <v>11.6</v>
      </c>
      <c r="F18" s="88">
        <f>IF(C18&lt;&gt;0,E18/C18,0)</f>
        <v>0.52727272727272723</v>
      </c>
      <c r="G18" s="88">
        <f>(F18*B18)</f>
        <v>0.13519813519813517</v>
      </c>
      <c r="H18" s="50"/>
      <c r="I18" s="3"/>
    </row>
    <row r="19" spans="1:9" ht="14.25" x14ac:dyDescent="0.2">
      <c r="A19" s="54" t="s">
        <v>77</v>
      </c>
      <c r="B19" s="94">
        <f>SUM($C$11/$C$14)</f>
        <v>0.20512820512820512</v>
      </c>
      <c r="C19" s="87">
        <f>B11</f>
        <v>1.25</v>
      </c>
      <c r="D19" s="87">
        <v>0.65</v>
      </c>
      <c r="E19" s="50">
        <f t="shared" ref="E19:E21" si="0">SUM(C19-D19)</f>
        <v>0.6</v>
      </c>
      <c r="F19" s="88">
        <f>IF(C19&lt;&gt;0,E19/C19,0)</f>
        <v>0.48</v>
      </c>
      <c r="G19" s="88">
        <f t="shared" ref="G19:G21" si="1">(F19*B19)</f>
        <v>9.8461538461538448E-2</v>
      </c>
      <c r="H19" s="50"/>
      <c r="I19" s="3"/>
    </row>
    <row r="20" spans="1:9" ht="14.25" x14ac:dyDescent="0.2">
      <c r="A20" s="54" t="s">
        <v>78</v>
      </c>
      <c r="B20" s="94">
        <f>SUM($C$12/$C$14)</f>
        <v>0.23076923076923078</v>
      </c>
      <c r="C20" s="87">
        <f>B12</f>
        <v>1.75</v>
      </c>
      <c r="D20" s="87">
        <v>0.9</v>
      </c>
      <c r="E20" s="50">
        <f t="shared" si="0"/>
        <v>0.85</v>
      </c>
      <c r="F20" s="88">
        <f>IF(C20&lt;&gt;0,E20/C20,0)</f>
        <v>0.48571428571428571</v>
      </c>
      <c r="G20" s="88">
        <f t="shared" si="1"/>
        <v>0.11208791208791209</v>
      </c>
      <c r="H20" s="50"/>
      <c r="I20" s="3"/>
    </row>
    <row r="21" spans="1:9" ht="14.25" x14ac:dyDescent="0.2">
      <c r="A21" s="54" t="s">
        <v>79</v>
      </c>
      <c r="B21" s="94">
        <f>SUM($C$13/$C$14)</f>
        <v>0.30769230769230771</v>
      </c>
      <c r="C21" s="87">
        <f>B13</f>
        <v>2.5</v>
      </c>
      <c r="D21" s="87">
        <v>1.05</v>
      </c>
      <c r="E21" s="50">
        <f t="shared" si="0"/>
        <v>1.45</v>
      </c>
      <c r="F21" s="88">
        <f>IF(C21&lt;&gt;0,E21/C21,0)</f>
        <v>0.57999999999999996</v>
      </c>
      <c r="G21" s="88">
        <f t="shared" si="1"/>
        <v>0.17846153846153845</v>
      </c>
      <c r="H21" s="50"/>
      <c r="I21" s="3"/>
    </row>
    <row r="22" spans="1:9" ht="15" thickBot="1" x14ac:dyDescent="0.25">
      <c r="A22" s="50"/>
      <c r="B22" s="102"/>
      <c r="C22" s="103"/>
      <c r="D22" s="50"/>
      <c r="E22" s="50"/>
      <c r="F22" s="50"/>
      <c r="G22" s="53"/>
      <c r="H22" s="50"/>
      <c r="I22" s="3"/>
    </row>
    <row r="23" spans="1:9" ht="15.75" thickTop="1" x14ac:dyDescent="0.25">
      <c r="A23" s="50" t="s">
        <v>22</v>
      </c>
      <c r="B23" s="103">
        <f>SUM(B18:B21)</f>
        <v>1</v>
      </c>
      <c r="C23" s="50"/>
      <c r="E23" s="171" t="s">
        <v>23</v>
      </c>
      <c r="F23" s="171"/>
      <c r="G23" s="88">
        <f>SUM(G18:G22)</f>
        <v>0.52420912420912413</v>
      </c>
      <c r="H23" s="50"/>
    </row>
    <row r="24" spans="1:9" ht="14.25" x14ac:dyDescent="0.2">
      <c r="A24" s="88" t="s">
        <v>24</v>
      </c>
      <c r="B24" s="50"/>
      <c r="C24" s="50"/>
      <c r="D24" s="50" t="s">
        <v>24</v>
      </c>
      <c r="E24" s="50"/>
      <c r="F24" s="50"/>
      <c r="G24" s="92" t="s">
        <v>24</v>
      </c>
      <c r="H24" s="50"/>
    </row>
    <row r="25" spans="1:9" ht="14.25" x14ac:dyDescent="0.2">
      <c r="A25" s="50"/>
      <c r="B25" s="50"/>
      <c r="C25" s="50"/>
      <c r="D25" s="50"/>
      <c r="E25" s="50"/>
      <c r="F25" s="50"/>
      <c r="G25" s="50"/>
      <c r="H25" s="50"/>
    </row>
    <row r="26" spans="1:9" ht="14.25" x14ac:dyDescent="0.2">
      <c r="A26" s="50"/>
      <c r="B26" s="50" t="s">
        <v>11</v>
      </c>
      <c r="C26" s="50"/>
      <c r="D26" s="92">
        <f>$K$16</f>
        <v>1470</v>
      </c>
      <c r="E26" s="50"/>
      <c r="F26" s="50"/>
      <c r="G26" s="50"/>
      <c r="H26" s="50"/>
    </row>
    <row r="27" spans="1:9" ht="14.25" x14ac:dyDescent="0.2">
      <c r="A27" s="93" t="s">
        <v>25</v>
      </c>
      <c r="B27" s="50" t="s">
        <v>26</v>
      </c>
      <c r="C27" s="50"/>
      <c r="D27" s="94">
        <f>$G$23</f>
        <v>0.52420912420912413</v>
      </c>
      <c r="E27" s="50"/>
      <c r="F27" s="50"/>
      <c r="G27" s="50"/>
      <c r="H27" s="50"/>
    </row>
    <row r="28" spans="1:9" ht="15" x14ac:dyDescent="0.25">
      <c r="A28" s="50"/>
      <c r="B28" s="50" t="s">
        <v>27</v>
      </c>
      <c r="C28" s="50"/>
      <c r="D28" s="116">
        <f>IF($D$27&lt;&gt;0,SUM($K$16/$D$27),0)</f>
        <v>2804.2243679329185</v>
      </c>
      <c r="E28" s="50"/>
      <c r="F28" s="50"/>
      <c r="G28" s="50"/>
      <c r="H28" s="50"/>
    </row>
    <row r="29" spans="1:9" ht="14.25" x14ac:dyDescent="0.2">
      <c r="A29" s="50"/>
      <c r="B29" s="50"/>
      <c r="C29" s="50"/>
      <c r="D29" s="50"/>
      <c r="E29" s="50"/>
      <c r="F29" s="50"/>
      <c r="G29" s="50"/>
      <c r="H29" s="50"/>
    </row>
    <row r="30" spans="1:9" ht="14.25" x14ac:dyDescent="0.2">
      <c r="A30" s="50"/>
      <c r="B30" s="50"/>
      <c r="C30" s="50"/>
      <c r="D30" s="50"/>
      <c r="E30" s="50"/>
      <c r="F30" s="50"/>
      <c r="G30" s="50"/>
      <c r="H30" s="50"/>
    </row>
    <row r="31" spans="1:9" ht="14.25" x14ac:dyDescent="0.2">
      <c r="A31" s="50"/>
      <c r="B31" s="50"/>
      <c r="C31" s="50"/>
      <c r="D31" s="50"/>
      <c r="E31" s="50"/>
      <c r="F31" s="50"/>
      <c r="G31" s="50"/>
      <c r="H31" s="50"/>
    </row>
    <row r="32" spans="1:9" ht="14.25" x14ac:dyDescent="0.2">
      <c r="A32" s="50"/>
      <c r="B32" s="50"/>
      <c r="C32" s="50"/>
      <c r="D32" s="50"/>
      <c r="E32" s="50"/>
      <c r="F32" s="50"/>
      <c r="G32" s="50"/>
      <c r="H32" s="50"/>
    </row>
    <row r="33" spans="1:9" ht="14.25" x14ac:dyDescent="0.2">
      <c r="A33" s="50"/>
      <c r="B33" s="50"/>
      <c r="C33" s="50"/>
      <c r="D33" s="50"/>
      <c r="E33" s="50"/>
      <c r="F33" s="50"/>
      <c r="G33" s="50"/>
      <c r="H33" s="50"/>
    </row>
    <row r="34" spans="1:9" ht="29.25" thickBot="1" x14ac:dyDescent="0.25">
      <c r="A34" s="50" t="s">
        <v>29</v>
      </c>
      <c r="B34" s="50"/>
      <c r="C34" s="120" t="s">
        <v>32</v>
      </c>
      <c r="D34" s="120" t="s">
        <v>50</v>
      </c>
      <c r="E34" s="120" t="s">
        <v>62</v>
      </c>
      <c r="F34" s="120" t="s">
        <v>63</v>
      </c>
      <c r="G34" s="93"/>
      <c r="H34" s="50"/>
      <c r="I34" s="50"/>
    </row>
    <row r="35" spans="1:9" ht="15" thickTop="1" x14ac:dyDescent="0.2">
      <c r="A35" s="50" t="s">
        <v>30</v>
      </c>
      <c r="B35" s="92">
        <f>$D$28</f>
        <v>2804.2243679329185</v>
      </c>
      <c r="C35" s="105">
        <f>SUM($B$35*$B$18)</f>
        <v>719.03188921356877</v>
      </c>
      <c r="D35" s="105">
        <f>SUM($B$35*$B$19)</f>
        <v>575.22551137085509</v>
      </c>
      <c r="E35" s="105">
        <f>SUM($B$35*$B$20)</f>
        <v>647.12870029221199</v>
      </c>
      <c r="F35" s="105">
        <f>SUM($B$35*$B$21)</f>
        <v>862.83826705628269</v>
      </c>
      <c r="G35" s="105"/>
      <c r="H35" s="50"/>
      <c r="I35" s="50"/>
    </row>
    <row r="36" spans="1:9" ht="14.25" x14ac:dyDescent="0.2">
      <c r="A36" s="93" t="s">
        <v>107</v>
      </c>
      <c r="B36" s="50"/>
      <c r="C36" s="106">
        <f>SUM(C35/C18)</f>
        <v>32.683267691525856</v>
      </c>
      <c r="D36" s="106">
        <f>SUM(D35/C19)</f>
        <v>460.18040909668406</v>
      </c>
      <c r="E36" s="106">
        <f>SUM(E35/C20)</f>
        <v>369.78782873840686</v>
      </c>
      <c r="F36" s="106">
        <f>SUM(F35/C21)</f>
        <v>345.13530682251309</v>
      </c>
      <c r="G36" s="93"/>
      <c r="H36" s="50"/>
      <c r="I36" s="50"/>
    </row>
    <row r="37" spans="1:9" ht="14.25" x14ac:dyDescent="0.2">
      <c r="I37" s="50"/>
    </row>
    <row r="38" spans="1:9" ht="14.25" x14ac:dyDescent="0.2">
      <c r="I38" s="50"/>
    </row>
    <row r="45" spans="1:9" ht="29.25" thickBot="1" x14ac:dyDescent="0.25">
      <c r="A45" s="50" t="s">
        <v>29</v>
      </c>
      <c r="B45" s="50"/>
      <c r="C45" s="120" t="s">
        <v>32</v>
      </c>
      <c r="D45" s="120" t="s">
        <v>50</v>
      </c>
      <c r="E45" s="120" t="s">
        <v>62</v>
      </c>
      <c r="F45" s="120" t="s">
        <v>63</v>
      </c>
    </row>
    <row r="46" spans="1:9" ht="15" thickTop="1" x14ac:dyDescent="0.2">
      <c r="A46" s="50" t="s">
        <v>30</v>
      </c>
      <c r="B46" s="92">
        <f>$D$28</f>
        <v>2804.2243679329185</v>
      </c>
      <c r="C46" s="105">
        <f>SUM($B$35*$B$18)</f>
        <v>719.03188921356877</v>
      </c>
      <c r="D46" s="105">
        <f>SUM($B$35*$B$19)</f>
        <v>575.22551137085509</v>
      </c>
      <c r="E46" s="105">
        <f>SUM($B$35*$B$20)</f>
        <v>647.12870029221199</v>
      </c>
      <c r="F46" s="105">
        <f>SUM($B$35*$B$21)</f>
        <v>862.83826705628269</v>
      </c>
    </row>
    <row r="47" spans="1:9" ht="14.25" x14ac:dyDescent="0.2">
      <c r="A47" s="93" t="s">
        <v>31</v>
      </c>
      <c r="B47" s="50"/>
      <c r="C47" s="106">
        <f>C36</f>
        <v>32.683267691525856</v>
      </c>
      <c r="D47" s="106">
        <f>SUM(D36/12)</f>
        <v>38.348367424723669</v>
      </c>
      <c r="E47" s="106">
        <f>SUM(E36/12)</f>
        <v>30.815652394867239</v>
      </c>
      <c r="F47" s="106">
        <f>SUM(F36/12)</f>
        <v>28.761275568542757</v>
      </c>
    </row>
    <row r="53" spans="1:6" ht="29.25" thickBot="1" x14ac:dyDescent="0.25">
      <c r="C53" s="120" t="s">
        <v>32</v>
      </c>
      <c r="D53" s="120" t="s">
        <v>50</v>
      </c>
      <c r="E53" s="120" t="s">
        <v>62</v>
      </c>
      <c r="F53" s="120" t="s">
        <v>63</v>
      </c>
    </row>
    <row r="54" spans="1:6" ht="15" thickTop="1" x14ac:dyDescent="0.2">
      <c r="A54" s="89" t="s">
        <v>108</v>
      </c>
      <c r="C54" s="89">
        <v>69</v>
      </c>
      <c r="D54" s="89">
        <v>37</v>
      </c>
      <c r="E54" s="89">
        <v>7</v>
      </c>
      <c r="F54" s="89">
        <v>41</v>
      </c>
    </row>
    <row r="55" spans="1:6" ht="14.25" x14ac:dyDescent="0.2">
      <c r="A55" s="89" t="s">
        <v>109</v>
      </c>
      <c r="C55" s="122">
        <v>33</v>
      </c>
      <c r="D55" s="122">
        <v>38</v>
      </c>
      <c r="E55" s="122">
        <v>31</v>
      </c>
      <c r="F55" s="122">
        <v>29</v>
      </c>
    </row>
  </sheetData>
  <mergeCells count="2">
    <mergeCell ref="A1:E1"/>
    <mergeCell ref="E23:F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46"/>
  <sheetViews>
    <sheetView workbookViewId="0">
      <selection activeCell="J4" sqref="J4:K21"/>
    </sheetView>
  </sheetViews>
  <sheetFormatPr defaultRowHeight="14.25" x14ac:dyDescent="0.2"/>
  <cols>
    <col min="1" max="1" width="23.7109375" bestFit="1" customWidth="1"/>
    <col min="2" max="2" width="12.28515625" style="125" customWidth="1"/>
    <col min="3" max="3" width="12.5703125" style="125" customWidth="1"/>
    <col min="4" max="4" width="10.5703125" customWidth="1"/>
    <col min="5" max="5" width="12.140625" bestFit="1" customWidth="1"/>
    <col min="10" max="10" width="23.42578125" style="89" bestFit="1" customWidth="1"/>
    <col min="11" max="11" width="15.42578125" style="89" customWidth="1"/>
    <col min="14" max="14" width="27" bestFit="1" customWidth="1"/>
    <col min="15" max="15" width="14" bestFit="1" customWidth="1"/>
  </cols>
  <sheetData>
    <row r="4" spans="1:15" x14ac:dyDescent="0.2">
      <c r="J4" s="172" t="s">
        <v>116</v>
      </c>
      <c r="K4" s="172"/>
      <c r="N4" s="172" t="s">
        <v>116</v>
      </c>
      <c r="O4" s="172"/>
    </row>
    <row r="5" spans="1:15" x14ac:dyDescent="0.2">
      <c r="J5" s="172" t="s">
        <v>112</v>
      </c>
      <c r="K5" s="172"/>
      <c r="N5" s="172" t="s">
        <v>115</v>
      </c>
      <c r="O5" s="172"/>
    </row>
    <row r="6" spans="1:15" x14ac:dyDescent="0.2">
      <c r="N6" s="89"/>
      <c r="O6" s="89"/>
    </row>
    <row r="7" spans="1:15" ht="15" x14ac:dyDescent="0.25">
      <c r="A7" s="82" t="s">
        <v>47</v>
      </c>
      <c r="B7" s="130" t="s">
        <v>110</v>
      </c>
      <c r="C7" s="126" t="s">
        <v>111</v>
      </c>
      <c r="J7" s="44" t="s">
        <v>38</v>
      </c>
      <c r="K7" s="45"/>
      <c r="N7" s="44" t="s">
        <v>38</v>
      </c>
      <c r="O7" s="45"/>
    </row>
    <row r="8" spans="1:15" x14ac:dyDescent="0.2">
      <c r="A8" s="54" t="s">
        <v>1</v>
      </c>
      <c r="B8" s="55">
        <v>0</v>
      </c>
      <c r="C8" s="127">
        <f>SUM(B8*6)</f>
        <v>0</v>
      </c>
      <c r="J8" s="54" t="s">
        <v>32</v>
      </c>
      <c r="K8" s="132">
        <f>SUM($E$29*$C$29)</f>
        <v>41850</v>
      </c>
      <c r="N8" s="54" t="s">
        <v>32</v>
      </c>
      <c r="O8" s="132">
        <f>SUM($E$41*$C$41)</f>
        <v>26598</v>
      </c>
    </row>
    <row r="9" spans="1:15" x14ac:dyDescent="0.2">
      <c r="A9" s="54" t="s">
        <v>2</v>
      </c>
      <c r="B9" s="55">
        <v>0</v>
      </c>
      <c r="C9" s="127">
        <f t="shared" ref="C9:C19" si="0">SUM(B9*6)</f>
        <v>0</v>
      </c>
      <c r="J9" s="54" t="s">
        <v>50</v>
      </c>
      <c r="K9" s="132">
        <f>SUM($E$30*$C$30)</f>
        <v>12555</v>
      </c>
      <c r="N9" s="54" t="s">
        <v>50</v>
      </c>
      <c r="O9" s="132">
        <f>SUM($E$42*$C$42)</f>
        <v>13950</v>
      </c>
    </row>
    <row r="10" spans="1:15" x14ac:dyDescent="0.2">
      <c r="A10" s="54" t="s">
        <v>3</v>
      </c>
      <c r="B10" s="55">
        <v>100</v>
      </c>
      <c r="C10" s="127">
        <f t="shared" si="0"/>
        <v>600</v>
      </c>
      <c r="J10" s="54" t="s">
        <v>62</v>
      </c>
      <c r="K10" s="132">
        <f>SUM($E$31*$C$31)</f>
        <v>4882.5</v>
      </c>
      <c r="N10" s="54" t="s">
        <v>62</v>
      </c>
      <c r="O10" s="132">
        <f>SUM($E$43*$C$43)</f>
        <v>22459.5</v>
      </c>
    </row>
    <row r="11" spans="1:15" ht="15" thickBot="1" x14ac:dyDescent="0.25">
      <c r="A11" s="54" t="s">
        <v>4</v>
      </c>
      <c r="B11" s="55">
        <v>0</v>
      </c>
      <c r="C11" s="127">
        <f t="shared" si="0"/>
        <v>0</v>
      </c>
      <c r="J11" s="54" t="s">
        <v>63</v>
      </c>
      <c r="K11" s="133">
        <f>SUM($E$32*$C$32)</f>
        <v>35712</v>
      </c>
      <c r="N11" s="54" t="s">
        <v>63</v>
      </c>
      <c r="O11" s="133">
        <f>SUM($E$44*$C$44)</f>
        <v>43245</v>
      </c>
    </row>
    <row r="12" spans="1:15" ht="15.75" thickTop="1" x14ac:dyDescent="0.25">
      <c r="A12" s="54" t="s">
        <v>37</v>
      </c>
      <c r="B12" s="55">
        <v>60</v>
      </c>
      <c r="C12" s="127">
        <f t="shared" si="0"/>
        <v>360</v>
      </c>
      <c r="J12" s="141" t="s">
        <v>39</v>
      </c>
      <c r="K12" s="132">
        <f>SUM(K8:K11)</f>
        <v>94999.5</v>
      </c>
      <c r="N12" s="141" t="s">
        <v>39</v>
      </c>
      <c r="O12" s="132">
        <f>SUM(O8:O11)</f>
        <v>106252.5</v>
      </c>
    </row>
    <row r="13" spans="1:15" ht="15" x14ac:dyDescent="0.25">
      <c r="A13" s="54" t="s">
        <v>36</v>
      </c>
      <c r="B13" s="55">
        <v>175</v>
      </c>
      <c r="C13" s="127">
        <f t="shared" si="0"/>
        <v>1050</v>
      </c>
      <c r="J13" s="44"/>
      <c r="K13" s="45"/>
      <c r="N13" s="44"/>
      <c r="O13" s="45"/>
    </row>
    <row r="14" spans="1:15" ht="15" x14ac:dyDescent="0.25">
      <c r="A14" s="54" t="s">
        <v>5</v>
      </c>
      <c r="B14" s="55">
        <v>0</v>
      </c>
      <c r="C14" s="127">
        <f t="shared" si="0"/>
        <v>0</v>
      </c>
      <c r="J14" s="44" t="s">
        <v>40</v>
      </c>
      <c r="K14" s="45"/>
      <c r="N14" s="44" t="s">
        <v>40</v>
      </c>
      <c r="O14" s="45"/>
    </row>
    <row r="15" spans="1:15" x14ac:dyDescent="0.2">
      <c r="A15" s="54" t="s">
        <v>6</v>
      </c>
      <c r="B15" s="55">
        <v>1000</v>
      </c>
      <c r="C15" s="127">
        <f t="shared" si="0"/>
        <v>6000</v>
      </c>
      <c r="J15" s="54" t="s">
        <v>32</v>
      </c>
      <c r="K15" s="132">
        <f>SUM($E$29*$D$29)</f>
        <v>21762</v>
      </c>
      <c r="N15" s="54" t="s">
        <v>32</v>
      </c>
      <c r="O15" s="132">
        <f>SUM($E$41*$D$41)</f>
        <v>12573.6</v>
      </c>
    </row>
    <row r="16" spans="1:15" x14ac:dyDescent="0.2">
      <c r="A16" s="54" t="s">
        <v>7</v>
      </c>
      <c r="B16" s="55">
        <v>50</v>
      </c>
      <c r="C16" s="127">
        <f t="shared" si="0"/>
        <v>300</v>
      </c>
      <c r="J16" s="54" t="s">
        <v>33</v>
      </c>
      <c r="K16" s="132">
        <f>SUM($E$30*$D$30)</f>
        <v>6528.5999999999995</v>
      </c>
      <c r="N16" s="54" t="s">
        <v>33</v>
      </c>
      <c r="O16" s="132">
        <f>SUM($E$42*$D$42)</f>
        <v>7254</v>
      </c>
    </row>
    <row r="17" spans="1:15" x14ac:dyDescent="0.2">
      <c r="A17" s="54" t="s">
        <v>8</v>
      </c>
      <c r="B17" s="55">
        <v>0</v>
      </c>
      <c r="C17" s="127">
        <f t="shared" si="0"/>
        <v>0</v>
      </c>
      <c r="J17" s="54" t="s">
        <v>34</v>
      </c>
      <c r="K17" s="132">
        <f>SUM($E$31*$D$31)</f>
        <v>2511</v>
      </c>
      <c r="N17" s="54" t="s">
        <v>34</v>
      </c>
      <c r="O17" s="132">
        <f>SUM($E$43*$D$43)</f>
        <v>11550.6</v>
      </c>
    </row>
    <row r="18" spans="1:15" ht="15" thickBot="1" x14ac:dyDescent="0.25">
      <c r="A18" s="54" t="s">
        <v>9</v>
      </c>
      <c r="B18" s="55">
        <v>85</v>
      </c>
      <c r="C18" s="127">
        <f t="shared" si="0"/>
        <v>510</v>
      </c>
      <c r="J18" s="54" t="s">
        <v>35</v>
      </c>
      <c r="K18" s="133">
        <f>SUM($E$32*$D$32)</f>
        <v>18748.8</v>
      </c>
      <c r="N18" s="54" t="s">
        <v>35</v>
      </c>
      <c r="O18" s="133">
        <f>SUM($E$44*$D$44)</f>
        <v>18162.899999999998</v>
      </c>
    </row>
    <row r="19" spans="1:15" ht="16.5" thickTop="1" thickBot="1" x14ac:dyDescent="0.3">
      <c r="A19" s="54" t="s">
        <v>10</v>
      </c>
      <c r="B19" s="131">
        <v>0</v>
      </c>
      <c r="C19" s="128">
        <f t="shared" si="0"/>
        <v>0</v>
      </c>
      <c r="J19" s="141" t="s">
        <v>41</v>
      </c>
      <c r="K19" s="142">
        <f>SUM(K15:K18)</f>
        <v>49550.399999999994</v>
      </c>
      <c r="N19" s="141" t="s">
        <v>41</v>
      </c>
      <c r="O19" s="142">
        <f>SUM(O15:O18)</f>
        <v>49541.099999999991</v>
      </c>
    </row>
    <row r="20" spans="1:15" ht="15.75" thickTop="1" x14ac:dyDescent="0.25">
      <c r="A20" s="130" t="s">
        <v>11</v>
      </c>
      <c r="B20" s="105">
        <f>SUM(B8:B19)</f>
        <v>1470</v>
      </c>
      <c r="C20" s="129">
        <f>SUM(C8:C19)</f>
        <v>8820</v>
      </c>
      <c r="J20" s="44"/>
      <c r="K20" s="132"/>
      <c r="N20" s="44"/>
      <c r="O20" s="132"/>
    </row>
    <row r="21" spans="1:15" ht="15" x14ac:dyDescent="0.25">
      <c r="A21" s="3"/>
      <c r="B21" s="4"/>
      <c r="J21" s="44" t="s">
        <v>42</v>
      </c>
      <c r="K21" s="134">
        <f>K12-K19</f>
        <v>45449.100000000006</v>
      </c>
      <c r="N21" s="44" t="s">
        <v>42</v>
      </c>
      <c r="O21" s="134">
        <f>O12-O19</f>
        <v>56711.400000000009</v>
      </c>
    </row>
    <row r="22" spans="1:15" ht="15" x14ac:dyDescent="0.25">
      <c r="J22" s="44"/>
      <c r="K22" s="132"/>
      <c r="O22" s="60"/>
    </row>
    <row r="23" spans="1:15" ht="15" x14ac:dyDescent="0.25">
      <c r="J23" s="44" t="s">
        <v>43</v>
      </c>
      <c r="K23" s="132"/>
      <c r="N23" s="44" t="s">
        <v>43</v>
      </c>
      <c r="O23" s="132"/>
    </row>
    <row r="24" spans="1:15" x14ac:dyDescent="0.2">
      <c r="J24" s="45" t="s">
        <v>1</v>
      </c>
      <c r="K24" s="132">
        <f t="shared" ref="K24:K35" si="1">C8</f>
        <v>0</v>
      </c>
      <c r="N24" s="45" t="s">
        <v>1</v>
      </c>
      <c r="O24" s="132">
        <f>G8</f>
        <v>0</v>
      </c>
    </row>
    <row r="25" spans="1:15" x14ac:dyDescent="0.2">
      <c r="J25" s="45" t="s">
        <v>2</v>
      </c>
      <c r="K25" s="132">
        <f t="shared" si="1"/>
        <v>0</v>
      </c>
      <c r="N25" s="45" t="s">
        <v>2</v>
      </c>
      <c r="O25" s="132">
        <f>G9</f>
        <v>0</v>
      </c>
    </row>
    <row r="26" spans="1:15" x14ac:dyDescent="0.2">
      <c r="A26" s="3"/>
      <c r="B26" s="7"/>
      <c r="C26" s="7"/>
      <c r="D26" s="3"/>
      <c r="E26" s="3"/>
      <c r="J26" s="45" t="s">
        <v>3</v>
      </c>
      <c r="K26" s="132">
        <f t="shared" si="1"/>
        <v>600</v>
      </c>
      <c r="N26" s="45" t="s">
        <v>3</v>
      </c>
      <c r="O26" s="132">
        <v>600</v>
      </c>
    </row>
    <row r="27" spans="1:15" x14ac:dyDescent="0.2">
      <c r="A27" s="50"/>
      <c r="B27" s="84" t="s">
        <v>12</v>
      </c>
      <c r="C27" s="84" t="s">
        <v>13</v>
      </c>
      <c r="D27" s="84"/>
      <c r="E27" s="136" t="s">
        <v>113</v>
      </c>
      <c r="J27" s="45" t="s">
        <v>4</v>
      </c>
      <c r="K27" s="132">
        <f t="shared" si="1"/>
        <v>0</v>
      </c>
      <c r="N27" s="45" t="s">
        <v>4</v>
      </c>
      <c r="O27" s="132"/>
    </row>
    <row r="28" spans="1:15" ht="15" thickBot="1" x14ac:dyDescent="0.25">
      <c r="A28" s="53" t="s">
        <v>16</v>
      </c>
      <c r="B28" s="97" t="s">
        <v>13</v>
      </c>
      <c r="C28" s="97" t="s">
        <v>17</v>
      </c>
      <c r="D28" s="97" t="s">
        <v>18</v>
      </c>
      <c r="E28" s="137" t="s">
        <v>114</v>
      </c>
      <c r="J28" s="45" t="s">
        <v>37</v>
      </c>
      <c r="K28" s="132">
        <f t="shared" si="1"/>
        <v>360</v>
      </c>
      <c r="N28" s="45" t="s">
        <v>37</v>
      </c>
      <c r="O28" s="132">
        <v>360</v>
      </c>
    </row>
    <row r="29" spans="1:15" ht="14.25" customHeight="1" thickTop="1" x14ac:dyDescent="0.2">
      <c r="A29" s="54" t="s">
        <v>70</v>
      </c>
      <c r="B29" s="98">
        <v>0.45</v>
      </c>
      <c r="C29" s="144">
        <v>20</v>
      </c>
      <c r="D29" s="145">
        <v>10.4</v>
      </c>
      <c r="E29" s="139">
        <f>SUM(4650*B29)</f>
        <v>2092.5</v>
      </c>
      <c r="J29" s="45" t="s">
        <v>36</v>
      </c>
      <c r="K29" s="132">
        <f t="shared" si="1"/>
        <v>1050</v>
      </c>
      <c r="N29" s="45" t="s">
        <v>36</v>
      </c>
      <c r="O29" s="132">
        <v>1050</v>
      </c>
    </row>
    <row r="30" spans="1:15" x14ac:dyDescent="0.2">
      <c r="A30" s="54" t="s">
        <v>67</v>
      </c>
      <c r="B30" s="98">
        <v>0.18</v>
      </c>
      <c r="C30" s="144">
        <v>15</v>
      </c>
      <c r="D30" s="144">
        <v>7.8</v>
      </c>
      <c r="E30" s="139">
        <f>SUM(4650*B30)</f>
        <v>837</v>
      </c>
      <c r="J30" s="45" t="s">
        <v>5</v>
      </c>
      <c r="K30" s="132">
        <f t="shared" si="1"/>
        <v>0</v>
      </c>
      <c r="N30" s="45" t="s">
        <v>5</v>
      </c>
      <c r="O30" s="132">
        <f>G14</f>
        <v>0</v>
      </c>
    </row>
    <row r="31" spans="1:15" x14ac:dyDescent="0.2">
      <c r="A31" s="54" t="s">
        <v>68</v>
      </c>
      <c r="B31" s="98">
        <v>0.05</v>
      </c>
      <c r="C31" s="144">
        <v>21</v>
      </c>
      <c r="D31" s="144">
        <v>10.8</v>
      </c>
      <c r="E31" s="139">
        <f>SUM(4650*B31)</f>
        <v>232.5</v>
      </c>
      <c r="J31" s="45" t="s">
        <v>6</v>
      </c>
      <c r="K31" s="132">
        <f t="shared" si="1"/>
        <v>6000</v>
      </c>
      <c r="N31" s="45" t="s">
        <v>6</v>
      </c>
      <c r="O31" s="132">
        <v>6000</v>
      </c>
    </row>
    <row r="32" spans="1:15" ht="15" thickBot="1" x14ac:dyDescent="0.25">
      <c r="A32" s="54" t="s">
        <v>69</v>
      </c>
      <c r="B32" s="98">
        <v>0.32</v>
      </c>
      <c r="C32" s="144">
        <v>24</v>
      </c>
      <c r="D32" s="144">
        <v>12.6</v>
      </c>
      <c r="E32" s="140">
        <f>SUM(4650*B32)</f>
        <v>1488</v>
      </c>
      <c r="J32" s="45" t="s">
        <v>7</v>
      </c>
      <c r="K32" s="132">
        <f t="shared" si="1"/>
        <v>300</v>
      </c>
      <c r="N32" s="45" t="s">
        <v>7</v>
      </c>
      <c r="O32" s="132">
        <v>300</v>
      </c>
    </row>
    <row r="33" spans="1:15" ht="15" thickTop="1" x14ac:dyDescent="0.2">
      <c r="E33" s="139">
        <f>SUM(E29:E32)</f>
        <v>4650</v>
      </c>
      <c r="J33" s="45" t="s">
        <v>8</v>
      </c>
      <c r="K33" s="132">
        <f t="shared" si="1"/>
        <v>0</v>
      </c>
      <c r="N33" s="45" t="s">
        <v>8</v>
      </c>
      <c r="O33" s="132">
        <f>G17</f>
        <v>0</v>
      </c>
    </row>
    <row r="34" spans="1:15" x14ac:dyDescent="0.2">
      <c r="J34" s="45" t="s">
        <v>9</v>
      </c>
      <c r="K34" s="132">
        <f t="shared" si="1"/>
        <v>510</v>
      </c>
      <c r="N34" s="45" t="s">
        <v>9</v>
      </c>
      <c r="O34" s="132">
        <v>510</v>
      </c>
    </row>
    <row r="35" spans="1:15" ht="15" thickBot="1" x14ac:dyDescent="0.25">
      <c r="J35" s="45" t="s">
        <v>10</v>
      </c>
      <c r="K35" s="133">
        <f t="shared" si="1"/>
        <v>0</v>
      </c>
      <c r="N35" s="45" t="s">
        <v>10</v>
      </c>
      <c r="O35" s="133">
        <f>G19</f>
        <v>0</v>
      </c>
    </row>
    <row r="36" spans="1:15" ht="15.75" thickTop="1" x14ac:dyDescent="0.25">
      <c r="J36" s="44" t="s">
        <v>44</v>
      </c>
      <c r="K36" s="132">
        <f>SUM(K24:K35)</f>
        <v>8820</v>
      </c>
      <c r="N36" s="44" t="s">
        <v>44</v>
      </c>
      <c r="O36" s="132">
        <f>SUM(O24:O35)</f>
        <v>8820</v>
      </c>
    </row>
    <row r="37" spans="1:15" ht="15" x14ac:dyDescent="0.25">
      <c r="J37" s="44"/>
      <c r="K37" s="132"/>
      <c r="N37" s="44"/>
      <c r="O37" s="132"/>
    </row>
    <row r="38" spans="1:15" ht="15" x14ac:dyDescent="0.25">
      <c r="J38" s="44" t="s">
        <v>45</v>
      </c>
      <c r="K38" s="132"/>
      <c r="N38" s="44" t="s">
        <v>45</v>
      </c>
      <c r="O38" s="132"/>
    </row>
    <row r="39" spans="1:15" ht="15" x14ac:dyDescent="0.25">
      <c r="A39" s="50"/>
      <c r="B39" s="84" t="s">
        <v>12</v>
      </c>
      <c r="C39" s="84" t="s">
        <v>13</v>
      </c>
      <c r="D39" s="84"/>
      <c r="E39" s="84" t="s">
        <v>113</v>
      </c>
      <c r="J39" s="44" t="s">
        <v>46</v>
      </c>
      <c r="K39" s="134">
        <f>SUM(K21-K36)</f>
        <v>36629.100000000006</v>
      </c>
      <c r="N39" s="44" t="s">
        <v>46</v>
      </c>
      <c r="O39" s="134">
        <f>SUM(O21-O36)</f>
        <v>47891.400000000009</v>
      </c>
    </row>
    <row r="40" spans="1:15" ht="15" thickBot="1" x14ac:dyDescent="0.25">
      <c r="A40" s="53" t="s">
        <v>16</v>
      </c>
      <c r="B40" s="97" t="s">
        <v>13</v>
      </c>
      <c r="C40" s="97" t="s">
        <v>17</v>
      </c>
      <c r="D40" s="97" t="s">
        <v>18</v>
      </c>
      <c r="E40" s="97" t="s">
        <v>114</v>
      </c>
    </row>
    <row r="41" spans="1:15" ht="15" thickTop="1" x14ac:dyDescent="0.2">
      <c r="A41" s="54" t="s">
        <v>70</v>
      </c>
      <c r="B41" s="103">
        <v>0.26</v>
      </c>
      <c r="C41" s="146">
        <v>22</v>
      </c>
      <c r="D41" s="147">
        <v>10.4</v>
      </c>
      <c r="E41" s="121">
        <f>SUM(4650*B41)</f>
        <v>1209</v>
      </c>
    </row>
    <row r="42" spans="1:15" x14ac:dyDescent="0.2">
      <c r="A42" s="54" t="s">
        <v>67</v>
      </c>
      <c r="B42" s="103">
        <v>0.2</v>
      </c>
      <c r="C42" s="146">
        <f>SUM(1.25*12)</f>
        <v>15</v>
      </c>
      <c r="D42" s="146">
        <v>7.8</v>
      </c>
      <c r="E42" s="121">
        <f>SUM(4650*B42)</f>
        <v>930</v>
      </c>
    </row>
    <row r="43" spans="1:15" x14ac:dyDescent="0.2">
      <c r="A43" s="54" t="s">
        <v>68</v>
      </c>
      <c r="B43" s="103">
        <v>0.23</v>
      </c>
      <c r="C43" s="146">
        <f>SUM(12*1.75)</f>
        <v>21</v>
      </c>
      <c r="D43" s="146">
        <v>10.8</v>
      </c>
      <c r="E43" s="121">
        <f>SUM(4650*B43)</f>
        <v>1069.5</v>
      </c>
    </row>
    <row r="44" spans="1:15" ht="15" thickBot="1" x14ac:dyDescent="0.25">
      <c r="A44" s="54" t="s">
        <v>69</v>
      </c>
      <c r="B44" s="103">
        <v>0.31</v>
      </c>
      <c r="C44" s="146">
        <f>SUM(12*2.5)</f>
        <v>30</v>
      </c>
      <c r="D44" s="146">
        <v>12.6</v>
      </c>
      <c r="E44" s="148">
        <f>SUM(4650*B44)</f>
        <v>1441.5</v>
      </c>
    </row>
    <row r="45" spans="1:15" ht="15" thickTop="1" x14ac:dyDescent="0.2">
      <c r="A45" s="50"/>
      <c r="B45" s="103"/>
      <c r="C45" s="103"/>
      <c r="D45" s="50"/>
      <c r="E45" s="121">
        <f>SUM(E41:E44)</f>
        <v>4650</v>
      </c>
    </row>
    <row r="46" spans="1:15" x14ac:dyDescent="0.2">
      <c r="B46" s="143"/>
    </row>
  </sheetData>
  <mergeCells count="4">
    <mergeCell ref="J5:K5"/>
    <mergeCell ref="N5:O5"/>
    <mergeCell ref="J4:K4"/>
    <mergeCell ref="N4:O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H48"/>
  <sheetViews>
    <sheetView topLeftCell="A22" workbookViewId="0">
      <selection activeCell="I45" sqref="I45"/>
    </sheetView>
  </sheetViews>
  <sheetFormatPr defaultRowHeight="14.25" x14ac:dyDescent="0.2"/>
  <cols>
    <col min="1" max="1" width="23.7109375" style="89" bestFit="1" customWidth="1"/>
    <col min="2" max="2" width="13.7109375" style="89" customWidth="1"/>
    <col min="3" max="3" width="13.5703125" style="89" customWidth="1"/>
    <col min="4" max="4" width="14.140625" style="89" customWidth="1"/>
    <col min="5" max="5" width="13.5703125" style="89" customWidth="1"/>
    <col min="6" max="6" width="12.140625" style="89" customWidth="1"/>
    <col min="7" max="7" width="15" style="89" customWidth="1"/>
    <col min="8" max="8" width="9.140625" style="89"/>
  </cols>
  <sheetData>
    <row r="7" spans="1:7" ht="43.5" thickBot="1" x14ac:dyDescent="0.25">
      <c r="A7" s="50"/>
      <c r="B7" s="120" t="s">
        <v>64</v>
      </c>
      <c r="C7" s="120" t="s">
        <v>66</v>
      </c>
      <c r="D7" s="120" t="s">
        <v>65</v>
      </c>
      <c r="E7" s="149" t="s">
        <v>117</v>
      </c>
      <c r="F7" s="150" t="s">
        <v>118</v>
      </c>
      <c r="G7" s="151" t="s">
        <v>120</v>
      </c>
    </row>
    <row r="8" spans="1:7" ht="15" thickTop="1" x14ac:dyDescent="0.2">
      <c r="A8" s="54" t="s">
        <v>50</v>
      </c>
      <c r="B8" s="50">
        <v>1.25</v>
      </c>
      <c r="C8" s="50">
        <v>0.65</v>
      </c>
      <c r="D8" s="50">
        <f>SUM(B8-C8)</f>
        <v>0.6</v>
      </c>
      <c r="E8" s="50">
        <v>0.05</v>
      </c>
      <c r="F8" s="138">
        <f>SUM(C8+E8)</f>
        <v>0.70000000000000007</v>
      </c>
      <c r="G8" s="138">
        <f>SUM(D8-E8)</f>
        <v>0.54999999999999993</v>
      </c>
    </row>
    <row r="9" spans="1:7" x14ac:dyDescent="0.2">
      <c r="A9" s="54" t="s">
        <v>62</v>
      </c>
      <c r="B9" s="50">
        <v>1.75</v>
      </c>
      <c r="C9" s="50">
        <v>0.9</v>
      </c>
      <c r="D9" s="50">
        <f t="shared" ref="D9:D10" si="0">SUM(B9-C9)</f>
        <v>0.85</v>
      </c>
      <c r="E9" s="50">
        <v>0.15</v>
      </c>
      <c r="F9" s="138">
        <f>SUM(C9+E9)</f>
        <v>1.05</v>
      </c>
      <c r="G9" s="138">
        <f>SUM(D9-E9)</f>
        <v>0.7</v>
      </c>
    </row>
    <row r="10" spans="1:7" x14ac:dyDescent="0.2">
      <c r="A10" s="54" t="s">
        <v>63</v>
      </c>
      <c r="B10" s="50">
        <v>2</v>
      </c>
      <c r="C10" s="50">
        <v>1.05</v>
      </c>
      <c r="D10" s="50">
        <f t="shared" si="0"/>
        <v>0.95</v>
      </c>
      <c r="E10" s="50">
        <v>0.2</v>
      </c>
      <c r="F10" s="138">
        <f>SUM(C10+E10)</f>
        <v>1.25</v>
      </c>
      <c r="G10" s="138">
        <f>SUM(D10-E10)</f>
        <v>0.75</v>
      </c>
    </row>
    <row r="16" spans="1:7" x14ac:dyDescent="0.2">
      <c r="F16"/>
      <c r="G16"/>
    </row>
    <row r="17" spans="1:7" x14ac:dyDescent="0.2">
      <c r="F17"/>
      <c r="G17"/>
    </row>
    <row r="18" spans="1:7" x14ac:dyDescent="0.2">
      <c r="F18"/>
      <c r="G18"/>
    </row>
    <row r="19" spans="1:7" x14ac:dyDescent="0.2">
      <c r="A19" s="50"/>
      <c r="B19" s="84" t="s">
        <v>12</v>
      </c>
      <c r="C19" s="84" t="s">
        <v>13</v>
      </c>
      <c r="D19" s="109" t="s">
        <v>124</v>
      </c>
      <c r="E19" s="84" t="s">
        <v>119</v>
      </c>
      <c r="F19" s="136" t="s">
        <v>113</v>
      </c>
      <c r="G19"/>
    </row>
    <row r="20" spans="1:7" ht="15" thickBot="1" x14ac:dyDescent="0.25">
      <c r="A20" s="53" t="s">
        <v>16</v>
      </c>
      <c r="B20" s="97" t="s">
        <v>13</v>
      </c>
      <c r="C20" s="97" t="s">
        <v>17</v>
      </c>
      <c r="D20" s="86" t="s">
        <v>18</v>
      </c>
      <c r="E20" s="97" t="s">
        <v>18</v>
      </c>
      <c r="F20" s="137" t="s">
        <v>114</v>
      </c>
      <c r="G20"/>
    </row>
    <row r="21" spans="1:7" ht="15" thickTop="1" x14ac:dyDescent="0.2">
      <c r="A21" s="54" t="s">
        <v>70</v>
      </c>
      <c r="B21" s="154">
        <v>0.45</v>
      </c>
      <c r="C21" s="144">
        <v>20</v>
      </c>
      <c r="D21" s="132">
        <f>SUM(C8*4)+(C9*4)+(C10*4)</f>
        <v>10.4</v>
      </c>
      <c r="E21" s="144">
        <f>SUM(F8*4)+(F9*4)+(F10*4)</f>
        <v>12</v>
      </c>
      <c r="F21" s="152">
        <f>SUM($F$25*B21)</f>
        <v>4500</v>
      </c>
      <c r="G21"/>
    </row>
    <row r="22" spans="1:7" x14ac:dyDescent="0.2">
      <c r="A22" s="54" t="s">
        <v>67</v>
      </c>
      <c r="B22" s="154">
        <v>0.18</v>
      </c>
      <c r="C22" s="144">
        <v>15</v>
      </c>
      <c r="D22" s="132">
        <f>SUM(12*C8)</f>
        <v>7.8000000000000007</v>
      </c>
      <c r="E22" s="144">
        <f>SUM(12*F8)</f>
        <v>8.4</v>
      </c>
      <c r="F22" s="152">
        <f>SUM($F$25*B22)</f>
        <v>1800</v>
      </c>
      <c r="G22"/>
    </row>
    <row r="23" spans="1:7" x14ac:dyDescent="0.2">
      <c r="A23" s="54" t="s">
        <v>68</v>
      </c>
      <c r="B23" s="154">
        <v>0.05</v>
      </c>
      <c r="C23" s="144">
        <v>21</v>
      </c>
      <c r="D23" s="132">
        <f>SUM(12*C9)</f>
        <v>10.8</v>
      </c>
      <c r="E23" s="144">
        <f>SUM(12*F9)</f>
        <v>12.600000000000001</v>
      </c>
      <c r="F23" s="152">
        <f>SUM($F$25*B23)</f>
        <v>500</v>
      </c>
    </row>
    <row r="24" spans="1:7" ht="15" thickBot="1" x14ac:dyDescent="0.25">
      <c r="A24" s="54" t="s">
        <v>69</v>
      </c>
      <c r="B24" s="154">
        <v>0.32</v>
      </c>
      <c r="C24" s="144">
        <v>24</v>
      </c>
      <c r="D24" s="132">
        <f>SUM(12*C10)</f>
        <v>12.600000000000001</v>
      </c>
      <c r="E24" s="144">
        <f>SUM(12*F10)</f>
        <v>15</v>
      </c>
      <c r="F24" s="153">
        <f>SUM($F$25*B24)</f>
        <v>3200</v>
      </c>
    </row>
    <row r="25" spans="1:7" ht="15" thickTop="1" x14ac:dyDescent="0.2">
      <c r="A25"/>
      <c r="B25" s="125"/>
      <c r="C25" s="125"/>
      <c r="E25"/>
      <c r="F25" s="152">
        <v>10000</v>
      </c>
    </row>
    <row r="31" spans="1:7" ht="15" x14ac:dyDescent="0.25">
      <c r="B31" s="173" t="s">
        <v>123</v>
      </c>
      <c r="C31" s="173"/>
      <c r="D31" s="173"/>
    </row>
    <row r="32" spans="1:7" ht="15" x14ac:dyDescent="0.2">
      <c r="A32" s="155"/>
      <c r="B32" s="160" t="s">
        <v>121</v>
      </c>
      <c r="C32" s="160" t="s">
        <v>122</v>
      </c>
      <c r="D32" s="160" t="s">
        <v>125</v>
      </c>
    </row>
    <row r="34" spans="1:4" ht="15" x14ac:dyDescent="0.25">
      <c r="A34" s="44" t="s">
        <v>38</v>
      </c>
      <c r="B34" s="45"/>
    </row>
    <row r="35" spans="1:4" x14ac:dyDescent="0.2">
      <c r="A35" s="54" t="s">
        <v>32</v>
      </c>
      <c r="B35" s="156">
        <f>SUM(F21*C21)</f>
        <v>90000</v>
      </c>
      <c r="C35" s="156">
        <f>SUM(F21*C21)</f>
        <v>90000</v>
      </c>
      <c r="D35" s="156">
        <f>C35-B35</f>
        <v>0</v>
      </c>
    </row>
    <row r="36" spans="1:4" x14ac:dyDescent="0.2">
      <c r="A36" s="54" t="s">
        <v>50</v>
      </c>
      <c r="B36" s="156">
        <f>SUM(F22*C22)</f>
        <v>27000</v>
      </c>
      <c r="C36" s="156">
        <f>SUM(F22*C22)</f>
        <v>27000</v>
      </c>
      <c r="D36" s="156">
        <f t="shared" ref="D36:D39" si="1">C36-B36</f>
        <v>0</v>
      </c>
    </row>
    <row r="37" spans="1:4" x14ac:dyDescent="0.2">
      <c r="A37" s="54" t="s">
        <v>62</v>
      </c>
      <c r="B37" s="156">
        <f>SUM(F23*C23)</f>
        <v>10500</v>
      </c>
      <c r="C37" s="156">
        <f>SUM(F23*C23)</f>
        <v>10500</v>
      </c>
      <c r="D37" s="156">
        <f t="shared" si="1"/>
        <v>0</v>
      </c>
    </row>
    <row r="38" spans="1:4" ht="15" thickBot="1" x14ac:dyDescent="0.25">
      <c r="A38" s="54" t="s">
        <v>63</v>
      </c>
      <c r="B38" s="157">
        <f>SUM(F24*C24)</f>
        <v>76800</v>
      </c>
      <c r="C38" s="157">
        <f>SUM(F24*C24)</f>
        <v>76800</v>
      </c>
      <c r="D38" s="156">
        <f t="shared" si="1"/>
        <v>0</v>
      </c>
    </row>
    <row r="39" spans="1:4" ht="15.75" thickTop="1" x14ac:dyDescent="0.25">
      <c r="A39" s="141" t="s">
        <v>39</v>
      </c>
      <c r="B39" s="156">
        <f>SUM(B35:B38)</f>
        <v>204300</v>
      </c>
      <c r="C39" s="156">
        <f>SUM(C35:C38)</f>
        <v>204300</v>
      </c>
      <c r="D39" s="156">
        <f t="shared" si="1"/>
        <v>0</v>
      </c>
    </row>
    <row r="40" spans="1:4" ht="15" x14ac:dyDescent="0.25">
      <c r="A40" s="44"/>
      <c r="B40" s="156"/>
      <c r="C40" s="156"/>
    </row>
    <row r="41" spans="1:4" ht="15" x14ac:dyDescent="0.25">
      <c r="A41" s="44" t="s">
        <v>40</v>
      </c>
      <c r="B41" s="156"/>
      <c r="C41" s="156"/>
    </row>
    <row r="42" spans="1:4" x14ac:dyDescent="0.2">
      <c r="A42" s="54" t="s">
        <v>32</v>
      </c>
      <c r="B42" s="156">
        <f>SUM(F21*D21)</f>
        <v>46800</v>
      </c>
      <c r="C42" s="156">
        <f>SUM(F21*E21)</f>
        <v>54000</v>
      </c>
      <c r="D42" s="156">
        <f>C42-B42</f>
        <v>7200</v>
      </c>
    </row>
    <row r="43" spans="1:4" x14ac:dyDescent="0.2">
      <c r="A43" s="54" t="s">
        <v>33</v>
      </c>
      <c r="B43" s="156">
        <f>SUM(F22*D22)</f>
        <v>14040.000000000002</v>
      </c>
      <c r="C43" s="156">
        <f>F22*E22</f>
        <v>15120</v>
      </c>
      <c r="D43" s="156">
        <f t="shared" ref="D43:D45" si="2">C43-B43</f>
        <v>1079.9999999999982</v>
      </c>
    </row>
    <row r="44" spans="1:4" x14ac:dyDescent="0.2">
      <c r="A44" s="54" t="s">
        <v>34</v>
      </c>
      <c r="B44" s="156">
        <f>SUM(F23*D23)</f>
        <v>5400</v>
      </c>
      <c r="C44" s="156">
        <f>F23*E23</f>
        <v>6300.0000000000009</v>
      </c>
      <c r="D44" s="156">
        <f t="shared" si="2"/>
        <v>900.00000000000091</v>
      </c>
    </row>
    <row r="45" spans="1:4" ht="15" thickBot="1" x14ac:dyDescent="0.25">
      <c r="A45" s="54" t="s">
        <v>35</v>
      </c>
      <c r="B45" s="157">
        <f>SUM(F24*D24)</f>
        <v>40320.000000000007</v>
      </c>
      <c r="C45" s="157">
        <f>F24*E24</f>
        <v>48000</v>
      </c>
      <c r="D45" s="157">
        <f t="shared" si="2"/>
        <v>7679.9999999999927</v>
      </c>
    </row>
    <row r="46" spans="1:4" ht="15.75" thickTop="1" x14ac:dyDescent="0.25">
      <c r="A46" s="141" t="s">
        <v>41</v>
      </c>
      <c r="B46" s="158">
        <f>SUM(B42:B45)</f>
        <v>106560</v>
      </c>
      <c r="C46" s="156">
        <f>SUM(C42:C45)</f>
        <v>123420</v>
      </c>
      <c r="D46" s="156">
        <f>SUM(D42:D45)</f>
        <v>16859.999999999993</v>
      </c>
    </row>
    <row r="47" spans="1:4" ht="15" x14ac:dyDescent="0.25">
      <c r="A47" s="44"/>
      <c r="B47" s="132"/>
      <c r="C47" s="156"/>
      <c r="D47" s="156"/>
    </row>
    <row r="48" spans="1:4" ht="15" x14ac:dyDescent="0.25">
      <c r="A48" s="44" t="s">
        <v>42</v>
      </c>
      <c r="B48" s="159">
        <f>B39-B46</f>
        <v>97740</v>
      </c>
      <c r="C48" s="159">
        <f>C39-C46</f>
        <v>80880</v>
      </c>
      <c r="D48" s="159">
        <f>SUM(C48-B48)</f>
        <v>-16860</v>
      </c>
    </row>
  </sheetData>
  <mergeCells count="1">
    <mergeCell ref="B31:D3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opLeftCell="A7" workbookViewId="0">
      <selection activeCell="L91" sqref="L91"/>
    </sheetView>
  </sheetViews>
  <sheetFormatPr defaultColWidth="10" defaultRowHeight="14.25" x14ac:dyDescent="0.2"/>
  <cols>
    <col min="1" max="1" width="23.42578125" style="50" bestFit="1" customWidth="1"/>
    <col min="2" max="2" width="21" style="50" bestFit="1" customWidth="1"/>
    <col min="3" max="3" width="17.28515625" style="3" customWidth="1"/>
    <col min="4" max="4" width="13.28515625" style="3" bestFit="1" customWidth="1"/>
    <col min="5" max="5" width="12" style="3" customWidth="1"/>
    <col min="6" max="6" width="12" style="3" bestFit="1" customWidth="1"/>
    <col min="7" max="7" width="10" style="3"/>
    <col min="8" max="8" width="10.5703125" style="3" bestFit="1" customWidth="1"/>
    <col min="9" max="12" width="10" style="3"/>
    <col min="13" max="13" width="23.42578125" style="3" bestFit="1" customWidth="1"/>
    <col min="14" max="14" width="21" style="3" customWidth="1"/>
    <col min="15" max="16384" width="10" style="3"/>
  </cols>
  <sheetData>
    <row r="1" spans="1:11" ht="66" customHeight="1" x14ac:dyDescent="0.2"/>
    <row r="2" spans="1:11" x14ac:dyDescent="0.2">
      <c r="A2" s="174" t="s">
        <v>126</v>
      </c>
      <c r="B2" s="174"/>
      <c r="C2" s="174"/>
    </row>
    <row r="3" spans="1:11" x14ac:dyDescent="0.2">
      <c r="A3" s="174" t="s">
        <v>127</v>
      </c>
      <c r="B3" s="174"/>
      <c r="C3" s="174"/>
    </row>
    <row r="4" spans="1:11" ht="15" x14ac:dyDescent="0.25">
      <c r="A4" s="3"/>
      <c r="B4" s="114" t="s">
        <v>128</v>
      </c>
      <c r="C4" s="114" t="s">
        <v>129</v>
      </c>
    </row>
    <row r="5" spans="1:11" ht="15.75" x14ac:dyDescent="0.25">
      <c r="A5" s="44" t="s">
        <v>38</v>
      </c>
      <c r="B5" s="45"/>
      <c r="H5" s="63"/>
    </row>
    <row r="6" spans="1:11" ht="15" x14ac:dyDescent="0.2">
      <c r="A6" s="54" t="s">
        <v>32</v>
      </c>
      <c r="B6" s="156">
        <f>SUM(14000 *B49)*D49</f>
        <v>126000</v>
      </c>
      <c r="C6" s="156">
        <f>(14000*B74)*D74</f>
        <v>119700</v>
      </c>
      <c r="H6" s="63"/>
      <c r="I6" s="36"/>
      <c r="J6" s="36"/>
      <c r="K6" s="40"/>
    </row>
    <row r="7" spans="1:11" ht="15" x14ac:dyDescent="0.2">
      <c r="A7" s="54" t="s">
        <v>50</v>
      </c>
      <c r="B7" s="156">
        <f>SUM(14000*B50)*D50</f>
        <v>37800</v>
      </c>
      <c r="C7" s="156">
        <f>SUM(14000*B75)*D75</f>
        <v>37800</v>
      </c>
      <c r="G7" s="1"/>
      <c r="H7" s="63"/>
    </row>
    <row r="8" spans="1:11" ht="15" x14ac:dyDescent="0.2">
      <c r="A8" s="54" t="s">
        <v>62</v>
      </c>
      <c r="B8" s="156">
        <f>SUM(14000*B51)*D51</f>
        <v>14700</v>
      </c>
      <c r="C8" s="156">
        <f>SUM(14000*B76)*D76</f>
        <v>12600</v>
      </c>
      <c r="G8" s="1"/>
      <c r="H8" s="161"/>
    </row>
    <row r="9" spans="1:11" ht="16.5" thickBot="1" x14ac:dyDescent="0.3">
      <c r="A9" s="54" t="s">
        <v>63</v>
      </c>
      <c r="B9" s="157">
        <f>SUM(14000*B52)*D52</f>
        <v>107520</v>
      </c>
      <c r="C9" s="157">
        <f>SUM(14000*B77)*D77</f>
        <v>107520</v>
      </c>
      <c r="G9" s="1"/>
      <c r="H9" s="65"/>
    </row>
    <row r="10" spans="1:11" ht="16.5" thickTop="1" x14ac:dyDescent="0.25">
      <c r="A10" s="44" t="s">
        <v>39</v>
      </c>
      <c r="B10" s="156">
        <f>SUM(B6:B9)</f>
        <v>286020</v>
      </c>
      <c r="C10" s="156">
        <f>SUM(C6:C9)</f>
        <v>277620</v>
      </c>
      <c r="H10" s="63"/>
    </row>
    <row r="11" spans="1:11" ht="15.75" x14ac:dyDescent="0.25">
      <c r="A11" s="44"/>
      <c r="B11" s="45"/>
      <c r="C11" s="45"/>
      <c r="H11" s="63"/>
    </row>
    <row r="12" spans="1:11" ht="15.75" x14ac:dyDescent="0.25">
      <c r="A12" s="44" t="s">
        <v>40</v>
      </c>
      <c r="B12" s="45"/>
      <c r="C12" s="45"/>
      <c r="H12" s="161"/>
    </row>
    <row r="13" spans="1:11" ht="15.75" x14ac:dyDescent="0.25">
      <c r="A13" s="54" t="s">
        <v>32</v>
      </c>
      <c r="B13" s="156">
        <f>(14000*E49)*B49</f>
        <v>65520</v>
      </c>
      <c r="C13" s="156">
        <f>SUM(14000*B74)*E74</f>
        <v>65520</v>
      </c>
      <c r="H13" s="65"/>
    </row>
    <row r="14" spans="1:11" ht="15" x14ac:dyDescent="0.2">
      <c r="A14" s="54" t="s">
        <v>50</v>
      </c>
      <c r="B14" s="156">
        <f>(14000*E50)*B50</f>
        <v>19656.000000000004</v>
      </c>
      <c r="C14" s="156">
        <f>(14000*B75)*E75</f>
        <v>19656</v>
      </c>
      <c r="H14" s="63"/>
    </row>
    <row r="15" spans="1:11" ht="15" x14ac:dyDescent="0.2">
      <c r="A15" s="54" t="s">
        <v>62</v>
      </c>
      <c r="B15" s="156">
        <f>SUM(14000*E51)*B51</f>
        <v>7560</v>
      </c>
      <c r="C15" s="156">
        <f>SUM(14000*B76)*E76</f>
        <v>7560.0000000000009</v>
      </c>
      <c r="H15" s="63"/>
    </row>
    <row r="16" spans="1:11" ht="15.75" thickBot="1" x14ac:dyDescent="0.25">
      <c r="A16" s="54" t="s">
        <v>63</v>
      </c>
      <c r="B16" s="157">
        <f>SUM(14000*E52)*B52</f>
        <v>56448.000000000007</v>
      </c>
      <c r="C16" s="157">
        <f>SUM(14000*B77)*E77</f>
        <v>56448.000000000007</v>
      </c>
      <c r="H16" s="63"/>
    </row>
    <row r="17" spans="1:8" ht="16.5" thickTop="1" x14ac:dyDescent="0.25">
      <c r="A17" s="44" t="s">
        <v>41</v>
      </c>
      <c r="B17" s="158">
        <f>SUM(B13:B16)</f>
        <v>149184</v>
      </c>
      <c r="C17" s="158">
        <f>SUM(C13:C16)</f>
        <v>149184</v>
      </c>
      <c r="H17" s="63"/>
    </row>
    <row r="18" spans="1:8" ht="15.75" x14ac:dyDescent="0.25">
      <c r="A18" s="44"/>
      <c r="B18" s="156"/>
      <c r="C18" s="156"/>
      <c r="H18" s="63"/>
    </row>
    <row r="19" spans="1:8" ht="15.75" x14ac:dyDescent="0.25">
      <c r="A19" s="44" t="s">
        <v>42</v>
      </c>
      <c r="B19" s="159">
        <f>B10-B17</f>
        <v>136836</v>
      </c>
      <c r="C19" s="159">
        <f>C10-C17</f>
        <v>128436</v>
      </c>
      <c r="H19" s="63"/>
    </row>
    <row r="20" spans="1:8" ht="15.75" x14ac:dyDescent="0.25">
      <c r="A20" s="44"/>
      <c r="B20" s="156"/>
      <c r="C20" s="156"/>
      <c r="H20" s="63"/>
    </row>
    <row r="21" spans="1:8" ht="15.75" x14ac:dyDescent="0.25">
      <c r="A21" s="44" t="s">
        <v>43</v>
      </c>
      <c r="B21" s="156"/>
      <c r="C21" s="156"/>
      <c r="H21" s="63"/>
    </row>
    <row r="22" spans="1:8" ht="15" x14ac:dyDescent="0.2">
      <c r="A22" s="45" t="s">
        <v>1</v>
      </c>
      <c r="B22" s="156">
        <v>9600</v>
      </c>
      <c r="C22" s="156">
        <v>9600</v>
      </c>
      <c r="H22" s="63"/>
    </row>
    <row r="23" spans="1:8" ht="15" x14ac:dyDescent="0.2">
      <c r="A23" s="45" t="s">
        <v>2</v>
      </c>
      <c r="B23" s="156">
        <v>2400</v>
      </c>
      <c r="C23" s="156">
        <v>2400</v>
      </c>
      <c r="H23" s="63"/>
    </row>
    <row r="24" spans="1:8" ht="15" x14ac:dyDescent="0.2">
      <c r="A24" s="45" t="s">
        <v>3</v>
      </c>
      <c r="B24" s="156">
        <v>1200</v>
      </c>
      <c r="C24" s="156">
        <v>1200</v>
      </c>
      <c r="H24" s="63"/>
    </row>
    <row r="25" spans="1:8" ht="15" x14ac:dyDescent="0.2">
      <c r="A25" s="45" t="s">
        <v>4</v>
      </c>
      <c r="B25" s="156">
        <v>1000</v>
      </c>
      <c r="C25" s="156">
        <v>1000</v>
      </c>
      <c r="H25" s="63"/>
    </row>
    <row r="26" spans="1:8" ht="15" x14ac:dyDescent="0.2">
      <c r="A26" s="45" t="s">
        <v>37</v>
      </c>
      <c r="B26" s="156">
        <v>1100</v>
      </c>
      <c r="C26" s="156">
        <v>1100</v>
      </c>
      <c r="H26" s="63"/>
    </row>
    <row r="27" spans="1:8" ht="15" x14ac:dyDescent="0.2">
      <c r="A27" s="45" t="s">
        <v>36</v>
      </c>
      <c r="B27" s="156">
        <v>2100</v>
      </c>
      <c r="C27" s="156">
        <v>2100</v>
      </c>
      <c r="H27" s="161"/>
    </row>
    <row r="28" spans="1:8" ht="15.75" x14ac:dyDescent="0.25">
      <c r="A28" s="45" t="s">
        <v>5</v>
      </c>
      <c r="B28" s="156">
        <v>32000</v>
      </c>
      <c r="C28" s="156">
        <v>32000</v>
      </c>
      <c r="H28" s="65"/>
    </row>
    <row r="29" spans="1:8" ht="15" x14ac:dyDescent="0.2">
      <c r="A29" s="45" t="s">
        <v>6</v>
      </c>
      <c r="B29" s="156">
        <v>20000</v>
      </c>
      <c r="C29" s="156">
        <v>20000</v>
      </c>
      <c r="H29" s="63"/>
    </row>
    <row r="30" spans="1:8" ht="15.75" x14ac:dyDescent="0.25">
      <c r="A30" s="45" t="s">
        <v>7</v>
      </c>
      <c r="B30" s="156">
        <v>1750</v>
      </c>
      <c r="C30" s="156">
        <v>1750</v>
      </c>
      <c r="H30" s="65"/>
    </row>
    <row r="31" spans="1:8" x14ac:dyDescent="0.2">
      <c r="A31" s="45" t="s">
        <v>8</v>
      </c>
      <c r="B31" s="156">
        <v>1000</v>
      </c>
      <c r="C31" s="156">
        <v>1000</v>
      </c>
    </row>
    <row r="32" spans="1:8" x14ac:dyDescent="0.2">
      <c r="A32" s="45" t="s">
        <v>9</v>
      </c>
      <c r="B32" s="156">
        <v>850</v>
      </c>
      <c r="C32" s="156">
        <v>850</v>
      </c>
    </row>
    <row r="33" spans="1:8" ht="15" thickBot="1" x14ac:dyDescent="0.25">
      <c r="A33" s="45" t="s">
        <v>10</v>
      </c>
      <c r="B33" s="157">
        <v>900</v>
      </c>
      <c r="C33" s="157">
        <v>900</v>
      </c>
    </row>
    <row r="34" spans="1:8" ht="15.75" thickTop="1" x14ac:dyDescent="0.25">
      <c r="A34" s="44" t="s">
        <v>44</v>
      </c>
      <c r="B34" s="156">
        <f>SUM(B22:B33)</f>
        <v>73900</v>
      </c>
      <c r="C34" s="156">
        <f>SUM(C22:C33)</f>
        <v>73900</v>
      </c>
    </row>
    <row r="35" spans="1:8" ht="15" x14ac:dyDescent="0.25">
      <c r="A35" s="44"/>
      <c r="B35" s="45"/>
      <c r="C35" s="45"/>
    </row>
    <row r="36" spans="1:8" ht="15" x14ac:dyDescent="0.25">
      <c r="A36" s="44" t="s">
        <v>45</v>
      </c>
      <c r="B36" s="45"/>
      <c r="C36" s="45"/>
    </row>
    <row r="37" spans="1:8" ht="15" x14ac:dyDescent="0.25">
      <c r="A37" s="44" t="s">
        <v>46</v>
      </c>
      <c r="B37" s="134">
        <f>SUM(B19-B34)</f>
        <v>62936</v>
      </c>
      <c r="C37" s="134">
        <f>SUM(C19-C34)</f>
        <v>54536</v>
      </c>
    </row>
    <row r="40" spans="1:8" ht="15" x14ac:dyDescent="0.25">
      <c r="A40" s="171" t="s">
        <v>131</v>
      </c>
      <c r="B40" s="171"/>
      <c r="C40" s="171"/>
      <c r="D40" s="171"/>
    </row>
    <row r="42" spans="1:8" ht="28.5" x14ac:dyDescent="0.2">
      <c r="B42" s="104" t="s">
        <v>64</v>
      </c>
      <c r="C42" s="36" t="s">
        <v>66</v>
      </c>
      <c r="D42" s="36" t="s">
        <v>65</v>
      </c>
      <c r="E42" s="40"/>
    </row>
    <row r="43" spans="1:8" x14ac:dyDescent="0.2">
      <c r="A43" s="54" t="s">
        <v>50</v>
      </c>
      <c r="B43" s="50">
        <v>1.25</v>
      </c>
      <c r="C43" s="50">
        <v>0.65</v>
      </c>
      <c r="D43" s="50">
        <f>SUM(B43)</f>
        <v>1.25</v>
      </c>
    </row>
    <row r="44" spans="1:8" x14ac:dyDescent="0.2">
      <c r="A44" s="54" t="s">
        <v>62</v>
      </c>
      <c r="B44" s="50">
        <v>1.75</v>
      </c>
      <c r="C44" s="50">
        <v>0.9</v>
      </c>
      <c r="D44" s="50">
        <f>B44-C44</f>
        <v>0.85</v>
      </c>
    </row>
    <row r="45" spans="1:8" x14ac:dyDescent="0.2">
      <c r="A45" s="54" t="s">
        <v>63</v>
      </c>
      <c r="B45" s="50">
        <v>2</v>
      </c>
      <c r="C45" s="50">
        <v>1.05</v>
      </c>
      <c r="D45" s="50">
        <f>B45-C45</f>
        <v>0.95</v>
      </c>
    </row>
    <row r="46" spans="1:8" ht="15" x14ac:dyDescent="0.25">
      <c r="A46" s="95"/>
      <c r="B46" s="95"/>
      <c r="C46" s="5"/>
      <c r="D46" s="5"/>
      <c r="E46" s="5"/>
      <c r="F46" s="6"/>
    </row>
    <row r="47" spans="1:8" x14ac:dyDescent="0.2">
      <c r="B47" s="84" t="s">
        <v>12</v>
      </c>
      <c r="C47" s="165" t="s">
        <v>71</v>
      </c>
      <c r="D47" s="14" t="s">
        <v>13</v>
      </c>
      <c r="E47" s="14"/>
      <c r="F47" s="14"/>
      <c r="G47" s="14" t="s">
        <v>14</v>
      </c>
      <c r="H47" s="14" t="s">
        <v>15</v>
      </c>
    </row>
    <row r="48" spans="1:8" ht="15" thickBot="1" x14ac:dyDescent="0.25">
      <c r="A48" s="53" t="s">
        <v>16</v>
      </c>
      <c r="B48" s="97" t="s">
        <v>13</v>
      </c>
      <c r="C48" s="166"/>
      <c r="D48" s="15" t="s">
        <v>17</v>
      </c>
      <c r="E48" s="15" t="s">
        <v>18</v>
      </c>
      <c r="F48" s="15" t="s">
        <v>19</v>
      </c>
      <c r="G48" s="15" t="s">
        <v>20</v>
      </c>
      <c r="H48" s="15" t="s">
        <v>21</v>
      </c>
    </row>
    <row r="49" spans="1:14" ht="15" thickTop="1" x14ac:dyDescent="0.2">
      <c r="A49" s="54" t="s">
        <v>70</v>
      </c>
      <c r="B49" s="98">
        <v>0.45</v>
      </c>
      <c r="C49" s="99" t="s">
        <v>72</v>
      </c>
      <c r="D49" s="50">
        <f>SUM(4*B43)+(4*B44)+(4*B45)</f>
        <v>20</v>
      </c>
      <c r="E49" s="54">
        <f>SUM(4*C43)+(C44*4)+(4*C45)</f>
        <v>10.4</v>
      </c>
      <c r="F49" s="50">
        <f>$D$49-$E$49</f>
        <v>9.6</v>
      </c>
      <c r="G49" s="88">
        <f>IF(D49&lt;&gt;0,F49/D49,0)</f>
        <v>0.48</v>
      </c>
      <c r="H49" s="188">
        <f>$G$49*$B$49</f>
        <v>0.216</v>
      </c>
    </row>
    <row r="50" spans="1:14" x14ac:dyDescent="0.2">
      <c r="A50" s="54" t="s">
        <v>67</v>
      </c>
      <c r="B50" s="98">
        <v>0.18</v>
      </c>
      <c r="C50" s="100">
        <v>12</v>
      </c>
      <c r="D50" s="50">
        <f>SUM(C50*B43)</f>
        <v>15</v>
      </c>
      <c r="E50" s="50">
        <f>SUM(12*C43)</f>
        <v>7.8000000000000007</v>
      </c>
      <c r="F50" s="50">
        <f>$D$50-$E$50</f>
        <v>7.1999999999999993</v>
      </c>
      <c r="G50" s="88">
        <f>IF(D50&lt;&gt;0,F50/D50,0)</f>
        <v>0.47999999999999993</v>
      </c>
      <c r="H50" s="188">
        <f>$G$50*$B$50</f>
        <v>8.6399999999999977E-2</v>
      </c>
    </row>
    <row r="51" spans="1:14" x14ac:dyDescent="0.2">
      <c r="A51" s="54" t="s">
        <v>68</v>
      </c>
      <c r="B51" s="98">
        <v>0.05</v>
      </c>
      <c r="C51" s="100">
        <v>12</v>
      </c>
      <c r="D51" s="50">
        <f>SUM(C51*B44)</f>
        <v>21</v>
      </c>
      <c r="E51" s="50">
        <f>SUM(12*C44)</f>
        <v>10.8</v>
      </c>
      <c r="F51" s="50">
        <f>$D$51-$E$51</f>
        <v>10.199999999999999</v>
      </c>
      <c r="G51" s="88">
        <f>IF(D51&lt;&gt;0,F51/D51,0)</f>
        <v>0.48571428571428565</v>
      </c>
      <c r="H51" s="188">
        <f>$G$51*$B$51</f>
        <v>2.4285714285714285E-2</v>
      </c>
    </row>
    <row r="52" spans="1:14" x14ac:dyDescent="0.2">
      <c r="A52" s="54" t="s">
        <v>69</v>
      </c>
      <c r="B52" s="98">
        <v>0.32</v>
      </c>
      <c r="C52" s="100">
        <v>12</v>
      </c>
      <c r="D52" s="50">
        <f>SUM(B45*C52)</f>
        <v>24</v>
      </c>
      <c r="E52" s="50">
        <f>SUM(12*C45)</f>
        <v>12.600000000000001</v>
      </c>
      <c r="F52" s="50">
        <f>$D$52-$E$52</f>
        <v>11.399999999999999</v>
      </c>
      <c r="G52" s="88">
        <f>IF(D52&lt;&gt;0,F52/D52,0)</f>
        <v>0.47499999999999992</v>
      </c>
      <c r="H52" s="188">
        <f>$G$52*$B$52</f>
        <v>0.15199999999999997</v>
      </c>
    </row>
    <row r="53" spans="1:14" ht="15" thickBot="1" x14ac:dyDescent="0.25">
      <c r="A53" s="54"/>
      <c r="B53" s="189"/>
      <c r="C53" s="100"/>
      <c r="D53" s="50"/>
      <c r="E53" s="50"/>
      <c r="F53" s="50"/>
      <c r="G53" s="187"/>
      <c r="H53" s="101"/>
    </row>
    <row r="54" spans="1:14" ht="15" x14ac:dyDescent="0.25">
      <c r="A54" s="50" t="s">
        <v>22</v>
      </c>
      <c r="B54" s="103">
        <f>SUM(B49:B52)</f>
        <v>1</v>
      </c>
      <c r="C54" s="50"/>
      <c r="D54" s="50"/>
      <c r="E54" s="171" t="s">
        <v>23</v>
      </c>
      <c r="F54" s="171"/>
      <c r="G54" s="88">
        <f>SUM(H49:H52)</f>
        <v>0.47868571428571427</v>
      </c>
      <c r="M54" s="22"/>
      <c r="N54" s="23"/>
    </row>
    <row r="55" spans="1:14" x14ac:dyDescent="0.2">
      <c r="A55" s="88" t="s">
        <v>24</v>
      </c>
      <c r="D55" s="3" t="s">
        <v>24</v>
      </c>
      <c r="G55" s="2" t="s">
        <v>24</v>
      </c>
      <c r="M55" s="22"/>
      <c r="N55" s="24"/>
    </row>
    <row r="56" spans="1:14" x14ac:dyDescent="0.2">
      <c r="B56" s="50" t="s">
        <v>11</v>
      </c>
      <c r="C56" s="50"/>
      <c r="D56" s="144">
        <f>B34</f>
        <v>73900</v>
      </c>
      <c r="M56" s="22"/>
      <c r="N56" s="24"/>
    </row>
    <row r="57" spans="1:14" x14ac:dyDescent="0.2">
      <c r="A57" s="93" t="s">
        <v>25</v>
      </c>
      <c r="B57" s="50" t="s">
        <v>26</v>
      </c>
      <c r="C57" s="50"/>
      <c r="D57" s="94">
        <f>$G$54</f>
        <v>0.47868571428571427</v>
      </c>
    </row>
    <row r="58" spans="1:14" ht="15" x14ac:dyDescent="0.25">
      <c r="B58" s="50" t="s">
        <v>27</v>
      </c>
      <c r="C58" s="50"/>
      <c r="D58" s="164">
        <f>IF($D$57&lt;&gt;0,SUM(B34/$D$57),0)</f>
        <v>154381.04333293543</v>
      </c>
    </row>
    <row r="59" spans="1:14" x14ac:dyDescent="0.2">
      <c r="B59" s="87"/>
    </row>
    <row r="60" spans="1:14" ht="29.25" thickBot="1" x14ac:dyDescent="0.25">
      <c r="A60" s="50" t="s">
        <v>29</v>
      </c>
      <c r="B60" s="123"/>
      <c r="C60" s="120" t="s">
        <v>32</v>
      </c>
      <c r="D60" s="120" t="s">
        <v>50</v>
      </c>
      <c r="E60" s="120" t="s">
        <v>62</v>
      </c>
      <c r="F60" s="120" t="s">
        <v>63</v>
      </c>
      <c r="G60" s="4"/>
    </row>
    <row r="61" spans="1:14" ht="15" thickTop="1" x14ac:dyDescent="0.2">
      <c r="A61" s="50" t="s">
        <v>30</v>
      </c>
      <c r="B61" s="162">
        <f>D58</f>
        <v>154381.04333293543</v>
      </c>
      <c r="C61" s="163">
        <f>B61*B49</f>
        <v>69471.469499820945</v>
      </c>
      <c r="D61" s="163">
        <f>B61*B50</f>
        <v>27788.587799928377</v>
      </c>
      <c r="E61" s="163">
        <f>B61*B51</f>
        <v>7719.0521666467721</v>
      </c>
      <c r="F61" s="163">
        <f>B61*B52</f>
        <v>49401.933866539337</v>
      </c>
      <c r="G61" s="18"/>
    </row>
    <row r="62" spans="1:14" x14ac:dyDescent="0.2">
      <c r="A62" s="50" t="s">
        <v>31</v>
      </c>
      <c r="C62" s="106">
        <f>IF($D$49&lt;&gt;0,($B61*$B$49)/$D$49,NA())</f>
        <v>3473.5734749910471</v>
      </c>
      <c r="D62" s="106">
        <f>IF($D$50&lt;&gt;0,($B61*$B$50)/$D$50,NA())</f>
        <v>1852.5725199952251</v>
      </c>
      <c r="E62" s="106">
        <f>IF($D$51&lt;&gt;0,($B61*$B$51)/$D$51,NA())</f>
        <v>367.57391269746535</v>
      </c>
      <c r="F62" s="106">
        <f>IF($D$52&lt;&gt;0,($B61*$B$52)/$D$52,NA())</f>
        <v>2058.4139111058057</v>
      </c>
      <c r="G62" s="4"/>
    </row>
    <row r="65" spans="1:14" ht="15" x14ac:dyDescent="0.25">
      <c r="B65" s="171" t="s">
        <v>130</v>
      </c>
      <c r="C65" s="171"/>
      <c r="D65" s="171"/>
      <c r="E65" s="171"/>
    </row>
    <row r="66" spans="1:14" ht="28.5" x14ac:dyDescent="0.2">
      <c r="B66" s="104" t="s">
        <v>64</v>
      </c>
      <c r="C66" s="104" t="s">
        <v>66</v>
      </c>
      <c r="D66" s="104" t="s">
        <v>65</v>
      </c>
      <c r="E66" s="40"/>
      <c r="N66" s="14"/>
    </row>
    <row r="67" spans="1:14" x14ac:dyDescent="0.2">
      <c r="A67" s="54" t="s">
        <v>50</v>
      </c>
      <c r="B67" s="50">
        <v>1.25</v>
      </c>
      <c r="C67" s="50">
        <v>0.65</v>
      </c>
      <c r="D67" s="50">
        <f>SUM(B67)</f>
        <v>1.25</v>
      </c>
    </row>
    <row r="68" spans="1:14" ht="15" x14ac:dyDescent="0.25">
      <c r="A68" s="54" t="s">
        <v>62</v>
      </c>
      <c r="B68" s="90">
        <v>1.5</v>
      </c>
      <c r="C68" s="50">
        <v>0.9</v>
      </c>
      <c r="D68" s="50">
        <f>B68-C68</f>
        <v>0.6</v>
      </c>
    </row>
    <row r="69" spans="1:14" x14ac:dyDescent="0.2">
      <c r="A69" s="54" t="s">
        <v>63</v>
      </c>
      <c r="B69" s="50">
        <v>2</v>
      </c>
      <c r="C69" s="50">
        <v>1.05</v>
      </c>
      <c r="D69" s="50">
        <f>B69-C69</f>
        <v>0.95</v>
      </c>
    </row>
    <row r="71" spans="1:14" ht="15" x14ac:dyDescent="0.25">
      <c r="A71" s="95"/>
      <c r="B71" s="95"/>
      <c r="C71" s="5"/>
      <c r="D71" s="5"/>
      <c r="E71" s="5"/>
      <c r="F71" s="6"/>
    </row>
    <row r="72" spans="1:14" x14ac:dyDescent="0.2">
      <c r="B72" s="84" t="s">
        <v>12</v>
      </c>
      <c r="C72" s="165" t="s">
        <v>71</v>
      </c>
      <c r="D72" s="14" t="s">
        <v>13</v>
      </c>
      <c r="E72" s="14"/>
      <c r="F72" s="14"/>
      <c r="G72" s="14" t="s">
        <v>14</v>
      </c>
      <c r="H72" s="14" t="s">
        <v>15</v>
      </c>
    </row>
    <row r="73" spans="1:14" ht="15" thickBot="1" x14ac:dyDescent="0.25">
      <c r="A73" s="53" t="s">
        <v>16</v>
      </c>
      <c r="B73" s="97" t="s">
        <v>13</v>
      </c>
      <c r="C73" s="166"/>
      <c r="D73" s="15" t="s">
        <v>17</v>
      </c>
      <c r="E73" s="15" t="s">
        <v>18</v>
      </c>
      <c r="F73" s="15" t="s">
        <v>19</v>
      </c>
      <c r="G73" s="15" t="s">
        <v>20</v>
      </c>
      <c r="H73" s="15" t="s">
        <v>21</v>
      </c>
    </row>
    <row r="74" spans="1:14" ht="15" thickTop="1" x14ac:dyDescent="0.2">
      <c r="A74" s="54" t="s">
        <v>70</v>
      </c>
      <c r="B74" s="98">
        <v>0.45</v>
      </c>
      <c r="C74" s="99" t="s">
        <v>72</v>
      </c>
      <c r="D74" s="50">
        <f>SUM(4*B67)+(4*B68)+(4*B69)</f>
        <v>19</v>
      </c>
      <c r="E74" s="54">
        <f>SUM(4*C67)+(C68*4)+(4*C69)</f>
        <v>10.4</v>
      </c>
      <c r="F74" s="50">
        <f>SUM(D74-E74)</f>
        <v>8.6</v>
      </c>
      <c r="G74" s="88">
        <f>IF(D74&lt;&gt;0,F74/D74,0)</f>
        <v>0.45263157894736838</v>
      </c>
      <c r="H74" s="188">
        <f>G74*B74</f>
        <v>0.20368421052631577</v>
      </c>
    </row>
    <row r="75" spans="1:14" x14ac:dyDescent="0.2">
      <c r="A75" s="54" t="s">
        <v>67</v>
      </c>
      <c r="B75" s="98">
        <v>0.18</v>
      </c>
      <c r="C75" s="100">
        <v>12</v>
      </c>
      <c r="D75" s="50">
        <f>SUM(C75*B67)</f>
        <v>15</v>
      </c>
      <c r="E75" s="50">
        <f>SUM(12*C67)</f>
        <v>7.8000000000000007</v>
      </c>
      <c r="F75" s="50">
        <f>SUM(D75-E75)</f>
        <v>7.1999999999999993</v>
      </c>
      <c r="G75" s="88">
        <f>IF(D75&lt;&gt;0,F75/D75,0)</f>
        <v>0.47999999999999993</v>
      </c>
      <c r="H75" s="188">
        <f>G75*B75</f>
        <v>8.6399999999999977E-2</v>
      </c>
    </row>
    <row r="76" spans="1:14" x14ac:dyDescent="0.2">
      <c r="A76" s="54" t="s">
        <v>68</v>
      </c>
      <c r="B76" s="98">
        <v>0.05</v>
      </c>
      <c r="C76" s="100">
        <v>12</v>
      </c>
      <c r="D76" s="50">
        <f>SUM(C76*B68)</f>
        <v>18</v>
      </c>
      <c r="E76" s="50">
        <f>SUM(12*C68)</f>
        <v>10.8</v>
      </c>
      <c r="F76" s="50">
        <f>SUM(D76-E76)</f>
        <v>7.1999999999999993</v>
      </c>
      <c r="G76" s="88">
        <f>IF(D76&lt;&gt;0,F76/D76,0)</f>
        <v>0.39999999999999997</v>
      </c>
      <c r="H76" s="188">
        <f>G76*B76</f>
        <v>0.02</v>
      </c>
    </row>
    <row r="77" spans="1:14" x14ac:dyDescent="0.2">
      <c r="A77" s="54" t="s">
        <v>69</v>
      </c>
      <c r="B77" s="98">
        <v>0.32</v>
      </c>
      <c r="C77" s="100">
        <v>12</v>
      </c>
      <c r="D77" s="50">
        <f>SUM(B69*C77)</f>
        <v>24</v>
      </c>
      <c r="E77" s="50">
        <f>SUM(12*C69)</f>
        <v>12.600000000000001</v>
      </c>
      <c r="F77" s="50">
        <f>SUM(D77-E77)</f>
        <v>11.399999999999999</v>
      </c>
      <c r="G77" s="88">
        <f>IF(D77&lt;&gt;0,F77/D77,0)</f>
        <v>0.47499999999999992</v>
      </c>
      <c r="H77" s="188">
        <f>G77*B77</f>
        <v>0.15199999999999997</v>
      </c>
    </row>
    <row r="78" spans="1:14" ht="15" thickBot="1" x14ac:dyDescent="0.25">
      <c r="B78" s="102"/>
      <c r="C78" s="103"/>
      <c r="D78" s="50"/>
      <c r="E78" s="50"/>
      <c r="F78" s="50"/>
      <c r="G78" s="53"/>
      <c r="H78" s="50"/>
    </row>
    <row r="79" spans="1:14" ht="15.75" thickTop="1" x14ac:dyDescent="0.25">
      <c r="A79" s="50" t="s">
        <v>22</v>
      </c>
      <c r="B79" s="103">
        <f>SUM(B74:B77)</f>
        <v>1</v>
      </c>
      <c r="C79" s="50"/>
      <c r="D79" s="50"/>
      <c r="E79" s="171" t="s">
        <v>23</v>
      </c>
      <c r="F79" s="171"/>
      <c r="G79" s="88">
        <f>SUM(H74:H77)</f>
        <v>0.46208421052631571</v>
      </c>
    </row>
    <row r="80" spans="1:14" x14ac:dyDescent="0.2">
      <c r="A80" s="88" t="s">
        <v>24</v>
      </c>
      <c r="D80" s="3" t="s">
        <v>24</v>
      </c>
      <c r="G80" s="2" t="s">
        <v>24</v>
      </c>
    </row>
    <row r="81" spans="1:7" x14ac:dyDescent="0.2">
      <c r="B81" s="50" t="s">
        <v>11</v>
      </c>
      <c r="C81" s="50"/>
      <c r="D81" s="144">
        <f>C34</f>
        <v>73900</v>
      </c>
    </row>
    <row r="82" spans="1:7" x14ac:dyDescent="0.2">
      <c r="A82" s="93" t="s">
        <v>25</v>
      </c>
      <c r="B82" s="50" t="s">
        <v>26</v>
      </c>
      <c r="C82" s="50"/>
      <c r="D82" s="94">
        <f>G79</f>
        <v>0.46208421052631571</v>
      </c>
    </row>
    <row r="83" spans="1:7" ht="15" x14ac:dyDescent="0.25">
      <c r="B83" s="50" t="s">
        <v>27</v>
      </c>
      <c r="C83" s="50"/>
      <c r="D83" s="164">
        <f>D81/D82</f>
        <v>159927.55934211129</v>
      </c>
    </row>
    <row r="84" spans="1:7" x14ac:dyDescent="0.2">
      <c r="B84" s="87"/>
    </row>
    <row r="85" spans="1:7" ht="29.25" thickBot="1" x14ac:dyDescent="0.25">
      <c r="A85" s="50" t="s">
        <v>29</v>
      </c>
      <c r="B85" s="123"/>
      <c r="C85" s="120" t="s">
        <v>32</v>
      </c>
      <c r="D85" s="120" t="s">
        <v>50</v>
      </c>
      <c r="E85" s="120" t="s">
        <v>62</v>
      </c>
      <c r="F85" s="120" t="s">
        <v>63</v>
      </c>
      <c r="G85" s="4"/>
    </row>
    <row r="86" spans="1:7" ht="15" thickTop="1" x14ac:dyDescent="0.2">
      <c r="A86" s="50" t="s">
        <v>30</v>
      </c>
      <c r="B86" s="162">
        <f>D83</f>
        <v>159927.55934211129</v>
      </c>
      <c r="C86" s="163">
        <f>B86*B74</f>
        <v>71967.401703950076</v>
      </c>
      <c r="D86" s="163">
        <f>B86*B75</f>
        <v>28786.960681580029</v>
      </c>
      <c r="E86" s="163">
        <f>B86*B76</f>
        <v>7996.3779671055645</v>
      </c>
      <c r="F86" s="163">
        <f>B86*B77</f>
        <v>51176.818989475614</v>
      </c>
      <c r="G86" s="18"/>
    </row>
    <row r="87" spans="1:7" x14ac:dyDescent="0.2">
      <c r="A87" s="50" t="s">
        <v>31</v>
      </c>
      <c r="C87" s="106">
        <f>IF($D$49&lt;&gt;0,($B86*$B$49)/$D$49,NA())</f>
        <v>3598.3700851975036</v>
      </c>
      <c r="D87" s="106">
        <f>IF($D$50&lt;&gt;0,($B86*$B$50)/$D$50,NA())</f>
        <v>1919.1307121053353</v>
      </c>
      <c r="E87" s="106">
        <f>IF($D$51&lt;&gt;0,($B86*$B$51)/$D$51,NA())</f>
        <v>380.7799031955031</v>
      </c>
      <c r="F87" s="106">
        <f>IF($D$52&lt;&gt;0,($B86*$B$52)/$D$52,NA())</f>
        <v>2132.3674578948171</v>
      </c>
      <c r="G87" s="4"/>
    </row>
  </sheetData>
  <mergeCells count="8">
    <mergeCell ref="A2:C2"/>
    <mergeCell ref="A3:C3"/>
    <mergeCell ref="A40:D40"/>
    <mergeCell ref="C72:C73"/>
    <mergeCell ref="E79:F79"/>
    <mergeCell ref="B65:E65"/>
    <mergeCell ref="C47:C48"/>
    <mergeCell ref="E54:F54"/>
  </mergeCells>
  <printOptions gridLines="1" gridLinesSet="0"/>
  <pageMargins left="0.5" right="0.5" top="0.25" bottom="0.25" header="0.5" footer="0.5"/>
  <pageSetup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opLeftCell="A67" workbookViewId="0">
      <selection activeCell="C87" sqref="C87"/>
    </sheetView>
  </sheetViews>
  <sheetFormatPr defaultColWidth="10" defaultRowHeight="14.25" x14ac:dyDescent="0.2"/>
  <cols>
    <col min="1" max="1" width="23.42578125" style="50" bestFit="1" customWidth="1"/>
    <col min="2" max="2" width="21" style="50" bestFit="1" customWidth="1"/>
    <col min="3" max="3" width="17.28515625" style="3" customWidth="1"/>
    <col min="4" max="4" width="13.5703125" style="3" bestFit="1" customWidth="1"/>
    <col min="5" max="5" width="12" style="3" customWidth="1"/>
    <col min="6" max="6" width="12" style="3" bestFit="1" customWidth="1"/>
    <col min="7" max="7" width="10" style="3"/>
    <col min="8" max="8" width="10.5703125" style="3" bestFit="1" customWidth="1"/>
    <col min="9" max="12" width="10" style="3"/>
    <col min="13" max="13" width="23.42578125" style="3" bestFit="1" customWidth="1"/>
    <col min="14" max="14" width="21" style="3" customWidth="1"/>
    <col min="15" max="16384" width="10" style="3"/>
  </cols>
  <sheetData>
    <row r="1" spans="1:11" ht="66" customHeight="1" x14ac:dyDescent="0.2"/>
    <row r="2" spans="1:11" x14ac:dyDescent="0.2">
      <c r="A2" s="174" t="s">
        <v>126</v>
      </c>
      <c r="B2" s="174"/>
      <c r="C2" s="174"/>
    </row>
    <row r="3" spans="1:11" x14ac:dyDescent="0.2">
      <c r="A3" s="174" t="s">
        <v>127</v>
      </c>
      <c r="B3" s="174"/>
      <c r="C3" s="174"/>
    </row>
    <row r="4" spans="1:11" ht="30" x14ac:dyDescent="0.25">
      <c r="A4" s="3"/>
      <c r="B4" s="115" t="s">
        <v>128</v>
      </c>
      <c r="C4" s="184" t="s">
        <v>133</v>
      </c>
      <c r="D4" s="191" t="s">
        <v>135</v>
      </c>
    </row>
    <row r="5" spans="1:11" ht="15" x14ac:dyDescent="0.25">
      <c r="A5" s="44" t="s">
        <v>38</v>
      </c>
      <c r="B5" s="45"/>
    </row>
    <row r="6" spans="1:11" x14ac:dyDescent="0.2">
      <c r="A6" s="54" t="s">
        <v>32</v>
      </c>
      <c r="B6" s="156">
        <f>SUM(14000 *B49)*D49</f>
        <v>126000</v>
      </c>
      <c r="C6" s="156">
        <f>(14000*B73)*D73</f>
        <v>119700</v>
      </c>
      <c r="D6" s="144">
        <f>SUM(C6-B6)</f>
        <v>-6300</v>
      </c>
      <c r="K6" s="40"/>
    </row>
    <row r="7" spans="1:11" x14ac:dyDescent="0.2">
      <c r="A7" s="54" t="s">
        <v>50</v>
      </c>
      <c r="B7" s="156">
        <f>SUM(14000*B50)*D50</f>
        <v>37800</v>
      </c>
      <c r="C7" s="156">
        <f>SUM(14000*B74)*D74</f>
        <v>27300</v>
      </c>
      <c r="D7" s="144">
        <f t="shared" ref="D7:D9" si="0">SUM(C7-B7)</f>
        <v>-10500</v>
      </c>
    </row>
    <row r="8" spans="1:11" x14ac:dyDescent="0.2">
      <c r="A8" s="54" t="s">
        <v>62</v>
      </c>
      <c r="B8" s="156">
        <f>SUM(14000*B51)*D51</f>
        <v>14700</v>
      </c>
      <c r="C8" s="156">
        <f>SUM(14000*B75)*D75</f>
        <v>25200</v>
      </c>
      <c r="D8" s="144">
        <f t="shared" si="0"/>
        <v>10500</v>
      </c>
    </row>
    <row r="9" spans="1:11" ht="17.25" customHeight="1" thickBot="1" x14ac:dyDescent="0.25">
      <c r="A9" s="54" t="s">
        <v>63</v>
      </c>
      <c r="B9" s="157">
        <f>SUM(14000*B52)*D52</f>
        <v>107520</v>
      </c>
      <c r="C9" s="157">
        <f>SUM(14000*B76)*D76</f>
        <v>107520</v>
      </c>
      <c r="D9" s="192">
        <f t="shared" si="0"/>
        <v>0</v>
      </c>
    </row>
    <row r="10" spans="1:11" ht="15.75" thickTop="1" x14ac:dyDescent="0.25">
      <c r="A10" s="44" t="s">
        <v>39</v>
      </c>
      <c r="B10" s="156">
        <f>SUM(B6:B9)</f>
        <v>286020</v>
      </c>
      <c r="C10" s="156">
        <f>SUM(C6:C9)</f>
        <v>279720</v>
      </c>
      <c r="D10" s="144">
        <f>SUM(D6:D9)</f>
        <v>-6300</v>
      </c>
    </row>
    <row r="11" spans="1:11" ht="15.75" x14ac:dyDescent="0.25">
      <c r="A11" s="44"/>
      <c r="B11" s="45"/>
      <c r="C11" s="45"/>
      <c r="H11" s="63"/>
    </row>
    <row r="12" spans="1:11" ht="15.75" x14ac:dyDescent="0.25">
      <c r="A12" s="44" t="s">
        <v>40</v>
      </c>
      <c r="B12" s="45"/>
      <c r="C12" s="45"/>
      <c r="H12" s="161"/>
    </row>
    <row r="13" spans="1:11" ht="15.75" x14ac:dyDescent="0.25">
      <c r="A13" s="54" t="s">
        <v>32</v>
      </c>
      <c r="B13" s="156">
        <f>(14000*E49)*B49</f>
        <v>65520</v>
      </c>
      <c r="C13" s="156">
        <f>SUM(14000*B73)*E73</f>
        <v>65520</v>
      </c>
      <c r="D13" s="144">
        <f>SUM(C13-B13)</f>
        <v>0</v>
      </c>
      <c r="H13" s="65"/>
    </row>
    <row r="14" spans="1:11" ht="15" x14ac:dyDescent="0.2">
      <c r="A14" s="54" t="s">
        <v>50</v>
      </c>
      <c r="B14" s="156">
        <f>(14000*E50)*B50</f>
        <v>19656.000000000004</v>
      </c>
      <c r="C14" s="156">
        <f>(14000*B74)*E74</f>
        <v>14196.000000000002</v>
      </c>
      <c r="D14" s="144">
        <f t="shared" ref="D14:D16" si="1">SUM(C14-B14)</f>
        <v>-5460.0000000000018</v>
      </c>
      <c r="H14" s="63"/>
    </row>
    <row r="15" spans="1:11" ht="15" x14ac:dyDescent="0.2">
      <c r="A15" s="54" t="s">
        <v>62</v>
      </c>
      <c r="B15" s="156">
        <f>SUM(14000*E51)*B51</f>
        <v>7560</v>
      </c>
      <c r="C15" s="156">
        <f>SUM(14000*B75)*E75</f>
        <v>15120.000000000002</v>
      </c>
      <c r="D15" s="144">
        <f t="shared" si="1"/>
        <v>7560.0000000000018</v>
      </c>
      <c r="H15" s="63"/>
    </row>
    <row r="16" spans="1:11" ht="15.75" thickBot="1" x14ac:dyDescent="0.25">
      <c r="A16" s="54" t="s">
        <v>63</v>
      </c>
      <c r="B16" s="157">
        <f>SUM(14000*E52)*B52</f>
        <v>56448.000000000007</v>
      </c>
      <c r="C16" s="157">
        <f>SUM(14000*B76)*E76</f>
        <v>56448.000000000007</v>
      </c>
      <c r="D16" s="192">
        <f t="shared" si="1"/>
        <v>0</v>
      </c>
      <c r="H16" s="63"/>
    </row>
    <row r="17" spans="1:8" ht="16.5" thickTop="1" x14ac:dyDescent="0.25">
      <c r="A17" s="44" t="s">
        <v>41</v>
      </c>
      <c r="B17" s="158">
        <f>SUM(B13:B16)</f>
        <v>149184</v>
      </c>
      <c r="C17" s="158">
        <f>SUM(C13:C16)</f>
        <v>151284</v>
      </c>
      <c r="D17" s="144">
        <f t="shared" ref="D14:D19" si="2">SUM(C17-B17)</f>
        <v>2100</v>
      </c>
      <c r="H17" s="63"/>
    </row>
    <row r="18" spans="1:8" ht="15.75" x14ac:dyDescent="0.25">
      <c r="A18" s="44"/>
      <c r="B18" s="156"/>
      <c r="C18" s="156"/>
      <c r="D18" s="144"/>
      <c r="H18" s="63"/>
    </row>
    <row r="19" spans="1:8" ht="15.75" x14ac:dyDescent="0.25">
      <c r="A19" s="44" t="s">
        <v>42</v>
      </c>
      <c r="B19" s="159">
        <f>B10-B17</f>
        <v>136836</v>
      </c>
      <c r="C19" s="159">
        <f>SUM(C10-C17)</f>
        <v>128436</v>
      </c>
      <c r="D19" s="144">
        <f t="shared" si="2"/>
        <v>-8400</v>
      </c>
      <c r="H19" s="63"/>
    </row>
    <row r="20" spans="1:8" ht="15.75" x14ac:dyDescent="0.25">
      <c r="A20" s="44"/>
      <c r="B20" s="156"/>
      <c r="C20" s="156"/>
      <c r="H20" s="63"/>
    </row>
    <row r="21" spans="1:8" ht="15.75" x14ac:dyDescent="0.25">
      <c r="A21" s="44" t="s">
        <v>43</v>
      </c>
      <c r="B21" s="156"/>
      <c r="C21" s="156"/>
      <c r="H21" s="63"/>
    </row>
    <row r="22" spans="1:8" ht="15" x14ac:dyDescent="0.2">
      <c r="A22" s="45" t="s">
        <v>1</v>
      </c>
      <c r="B22" s="156">
        <v>9600</v>
      </c>
      <c r="C22" s="156">
        <v>9600</v>
      </c>
      <c r="H22" s="63"/>
    </row>
    <row r="23" spans="1:8" ht="15" x14ac:dyDescent="0.2">
      <c r="A23" s="45" t="s">
        <v>2</v>
      </c>
      <c r="B23" s="156">
        <v>2400</v>
      </c>
      <c r="C23" s="156">
        <v>2400</v>
      </c>
      <c r="H23" s="63"/>
    </row>
    <row r="24" spans="1:8" ht="15" x14ac:dyDescent="0.2">
      <c r="A24" s="45" t="s">
        <v>3</v>
      </c>
      <c r="B24" s="156">
        <v>1200</v>
      </c>
      <c r="C24" s="156">
        <v>1200</v>
      </c>
      <c r="H24" s="63"/>
    </row>
    <row r="25" spans="1:8" ht="15" x14ac:dyDescent="0.2">
      <c r="A25" s="45" t="s">
        <v>4</v>
      </c>
      <c r="B25" s="156">
        <v>1000</v>
      </c>
      <c r="C25" s="156">
        <v>1000</v>
      </c>
      <c r="H25" s="63"/>
    </row>
    <row r="26" spans="1:8" ht="15" x14ac:dyDescent="0.2">
      <c r="A26" s="45" t="s">
        <v>37</v>
      </c>
      <c r="B26" s="156">
        <v>1100</v>
      </c>
      <c r="C26" s="156">
        <v>1100</v>
      </c>
      <c r="H26" s="63"/>
    </row>
    <row r="27" spans="1:8" ht="15" x14ac:dyDescent="0.2">
      <c r="A27" s="45" t="s">
        <v>36</v>
      </c>
      <c r="B27" s="156">
        <v>2100</v>
      </c>
      <c r="C27" s="156">
        <v>2100</v>
      </c>
      <c r="H27" s="161"/>
    </row>
    <row r="28" spans="1:8" ht="15.75" x14ac:dyDescent="0.25">
      <c r="A28" s="45" t="s">
        <v>5</v>
      </c>
      <c r="B28" s="156">
        <v>32000</v>
      </c>
      <c r="C28" s="156">
        <v>32000</v>
      </c>
      <c r="H28" s="65"/>
    </row>
    <row r="29" spans="1:8" ht="15" x14ac:dyDescent="0.2">
      <c r="A29" s="45" t="s">
        <v>6</v>
      </c>
      <c r="B29" s="156">
        <v>20000</v>
      </c>
      <c r="C29" s="156">
        <v>20000</v>
      </c>
      <c r="H29" s="63"/>
    </row>
    <row r="30" spans="1:8" ht="15.75" x14ac:dyDescent="0.25">
      <c r="A30" s="45" t="s">
        <v>7</v>
      </c>
      <c r="B30" s="156">
        <v>1750</v>
      </c>
      <c r="C30" s="156">
        <v>1750</v>
      </c>
      <c r="H30" s="65"/>
    </row>
    <row r="31" spans="1:8" x14ac:dyDescent="0.2">
      <c r="A31" s="45" t="s">
        <v>8</v>
      </c>
      <c r="B31" s="156">
        <v>1000</v>
      </c>
      <c r="C31" s="156">
        <v>1000</v>
      </c>
    </row>
    <row r="32" spans="1:8" x14ac:dyDescent="0.2">
      <c r="A32" s="45" t="s">
        <v>9</v>
      </c>
      <c r="B32" s="156">
        <v>850</v>
      </c>
      <c r="C32" s="156">
        <v>850</v>
      </c>
    </row>
    <row r="33" spans="1:8" ht="15" thickBot="1" x14ac:dyDescent="0.25">
      <c r="A33" s="45" t="s">
        <v>10</v>
      </c>
      <c r="B33" s="157">
        <v>900</v>
      </c>
      <c r="C33" s="157">
        <v>900</v>
      </c>
    </row>
    <row r="34" spans="1:8" ht="15.75" thickTop="1" x14ac:dyDescent="0.25">
      <c r="A34" s="44" t="s">
        <v>44</v>
      </c>
      <c r="B34" s="156">
        <f>SUM(B22:B33)</f>
        <v>73900</v>
      </c>
      <c r="C34" s="156">
        <f>SUM(C22:C33)</f>
        <v>73900</v>
      </c>
    </row>
    <row r="35" spans="1:8" ht="15" x14ac:dyDescent="0.25">
      <c r="A35" s="44"/>
      <c r="B35" s="45"/>
      <c r="C35" s="45"/>
    </row>
    <row r="36" spans="1:8" ht="15" x14ac:dyDescent="0.25">
      <c r="A36" s="44" t="s">
        <v>45</v>
      </c>
      <c r="B36" s="45"/>
      <c r="C36" s="45"/>
    </row>
    <row r="37" spans="1:8" ht="15" x14ac:dyDescent="0.25">
      <c r="A37" s="44" t="s">
        <v>46</v>
      </c>
      <c r="B37" s="134">
        <f>SUM(B19-B34)</f>
        <v>62936</v>
      </c>
      <c r="C37" s="134">
        <f>SUM(C19-C34)</f>
        <v>54536</v>
      </c>
    </row>
    <row r="40" spans="1:8" ht="15" x14ac:dyDescent="0.25">
      <c r="A40" s="171" t="s">
        <v>131</v>
      </c>
      <c r="B40" s="171"/>
      <c r="C40" s="171"/>
      <c r="D40" s="171"/>
    </row>
    <row r="42" spans="1:8" ht="28.5" x14ac:dyDescent="0.2">
      <c r="B42" s="104" t="s">
        <v>64</v>
      </c>
      <c r="C42" s="83" t="s">
        <v>66</v>
      </c>
      <c r="D42" s="83" t="s">
        <v>65</v>
      </c>
      <c r="E42" s="40"/>
    </row>
    <row r="43" spans="1:8" x14ac:dyDescent="0.2">
      <c r="A43" s="54" t="s">
        <v>50</v>
      </c>
      <c r="B43" s="50">
        <v>1.25</v>
      </c>
      <c r="C43" s="50">
        <v>0.65</v>
      </c>
      <c r="D43" s="50">
        <f>SUM(B43)</f>
        <v>1.25</v>
      </c>
    </row>
    <row r="44" spans="1:8" x14ac:dyDescent="0.2">
      <c r="A44" s="54" t="s">
        <v>62</v>
      </c>
      <c r="B44" s="50">
        <v>1.75</v>
      </c>
      <c r="C44" s="50">
        <v>0.9</v>
      </c>
      <c r="D44" s="50">
        <f>B44-C44</f>
        <v>0.85</v>
      </c>
    </row>
    <row r="45" spans="1:8" x14ac:dyDescent="0.2">
      <c r="A45" s="54" t="s">
        <v>63</v>
      </c>
      <c r="B45" s="50">
        <v>2</v>
      </c>
      <c r="C45" s="50">
        <v>1.05</v>
      </c>
      <c r="D45" s="50">
        <f>B45-C45</f>
        <v>0.95</v>
      </c>
    </row>
    <row r="46" spans="1:8" ht="15" x14ac:dyDescent="0.25">
      <c r="A46" s="95"/>
      <c r="B46" s="95"/>
      <c r="C46" s="5"/>
      <c r="D46" s="5"/>
      <c r="E46" s="5"/>
      <c r="F46" s="6"/>
    </row>
    <row r="47" spans="1:8" x14ac:dyDescent="0.2">
      <c r="B47" s="108" t="s">
        <v>12</v>
      </c>
      <c r="C47" s="165" t="s">
        <v>71</v>
      </c>
      <c r="D47" s="14" t="s">
        <v>13</v>
      </c>
      <c r="E47" s="14"/>
      <c r="F47" s="14"/>
      <c r="G47" s="14" t="s">
        <v>14</v>
      </c>
      <c r="H47" s="14" t="s">
        <v>15</v>
      </c>
    </row>
    <row r="48" spans="1:8" ht="15" thickBot="1" x14ac:dyDescent="0.25">
      <c r="A48" s="53" t="s">
        <v>16</v>
      </c>
      <c r="B48" s="97" t="s">
        <v>13</v>
      </c>
      <c r="C48" s="166"/>
      <c r="D48" s="15" t="s">
        <v>17</v>
      </c>
      <c r="E48" s="15" t="s">
        <v>18</v>
      </c>
      <c r="F48" s="15" t="s">
        <v>19</v>
      </c>
      <c r="G48" s="15" t="s">
        <v>20</v>
      </c>
      <c r="H48" s="15" t="s">
        <v>21</v>
      </c>
    </row>
    <row r="49" spans="1:14" ht="15" thickTop="1" x14ac:dyDescent="0.2">
      <c r="A49" s="54" t="s">
        <v>70</v>
      </c>
      <c r="B49" s="98">
        <v>0.45</v>
      </c>
      <c r="C49" s="99" t="s">
        <v>72</v>
      </c>
      <c r="D49" s="50">
        <f>SUM(4*B43)+(4*B44)+(4*B45)</f>
        <v>20</v>
      </c>
      <c r="E49" s="54">
        <f>SUM(4*C43)+(C44*4)+(4*C45)</f>
        <v>10.4</v>
      </c>
      <c r="F49" s="50">
        <f>$D$49-$E$49</f>
        <v>9.6</v>
      </c>
      <c r="G49" s="88">
        <f>IF(D49&lt;&gt;0,F49/D49,0)</f>
        <v>0.48</v>
      </c>
      <c r="H49" s="88">
        <f>$G$49*$B$49</f>
        <v>0.216</v>
      </c>
    </row>
    <row r="50" spans="1:14" x14ac:dyDescent="0.2">
      <c r="A50" s="54" t="s">
        <v>67</v>
      </c>
      <c r="B50" s="98">
        <v>0.18</v>
      </c>
      <c r="C50" s="100">
        <v>12</v>
      </c>
      <c r="D50" s="50">
        <f>SUM(C50*B43)</f>
        <v>15</v>
      </c>
      <c r="E50" s="50">
        <f>SUM(12*C43)</f>
        <v>7.8000000000000007</v>
      </c>
      <c r="F50" s="50">
        <f>$D$50-$E$50</f>
        <v>7.1999999999999993</v>
      </c>
      <c r="G50" s="88">
        <f>IF(D50&lt;&gt;0,F50/D50,0)</f>
        <v>0.47999999999999993</v>
      </c>
      <c r="H50" s="88">
        <f>$G$50*$B$50</f>
        <v>8.6399999999999977E-2</v>
      </c>
    </row>
    <row r="51" spans="1:14" x14ac:dyDescent="0.2">
      <c r="A51" s="54" t="s">
        <v>68</v>
      </c>
      <c r="B51" s="98">
        <v>0.05</v>
      </c>
      <c r="C51" s="100">
        <v>12</v>
      </c>
      <c r="D51" s="50">
        <f>SUM(C51*B44)</f>
        <v>21</v>
      </c>
      <c r="E51" s="50">
        <f>SUM(12*C44)</f>
        <v>10.8</v>
      </c>
      <c r="F51" s="50">
        <f>$D$51-$E$51</f>
        <v>10.199999999999999</v>
      </c>
      <c r="G51" s="88">
        <f>IF(D51&lt;&gt;0,F51/D51,0)</f>
        <v>0.48571428571428565</v>
      </c>
      <c r="H51" s="88">
        <f>$G$51*$B$51</f>
        <v>2.4285714285714285E-2</v>
      </c>
    </row>
    <row r="52" spans="1:14" x14ac:dyDescent="0.2">
      <c r="A52" s="54" t="s">
        <v>69</v>
      </c>
      <c r="B52" s="98">
        <v>0.32</v>
      </c>
      <c r="C52" s="100">
        <v>12</v>
      </c>
      <c r="D52" s="50">
        <f>SUM(B45*C52)</f>
        <v>24</v>
      </c>
      <c r="E52" s="50">
        <f>SUM(12*C45)</f>
        <v>12.600000000000001</v>
      </c>
      <c r="F52" s="50">
        <f>$D$52-$E$52</f>
        <v>11.399999999999999</v>
      </c>
      <c r="G52" s="88">
        <f>IF(D52&lt;&gt;0,F52/D52,0)</f>
        <v>0.47499999999999992</v>
      </c>
      <c r="H52" s="101">
        <f>$G$52*$B$52</f>
        <v>0.15199999999999997</v>
      </c>
    </row>
    <row r="53" spans="1:14" ht="15" thickBot="1" x14ac:dyDescent="0.25">
      <c r="A53" s="54"/>
      <c r="B53" s="98"/>
      <c r="C53" s="100"/>
      <c r="D53" s="50"/>
      <c r="E53" s="50"/>
      <c r="F53" s="50"/>
      <c r="G53" s="187"/>
      <c r="H53" s="101"/>
    </row>
    <row r="54" spans="1:14" ht="15" x14ac:dyDescent="0.25">
      <c r="A54" s="50" t="s">
        <v>22</v>
      </c>
      <c r="B54" s="103">
        <f>SUM(B49:B52)</f>
        <v>1</v>
      </c>
      <c r="C54" s="50"/>
      <c r="D54" s="50"/>
      <c r="E54" s="171" t="s">
        <v>23</v>
      </c>
      <c r="F54" s="171"/>
      <c r="G54" s="88">
        <f>SUM(H49:H52)</f>
        <v>0.47868571428571427</v>
      </c>
      <c r="M54" s="22"/>
      <c r="N54" s="23"/>
    </row>
    <row r="55" spans="1:14" x14ac:dyDescent="0.2">
      <c r="A55" s="88" t="s">
        <v>24</v>
      </c>
      <c r="D55" s="3" t="s">
        <v>24</v>
      </c>
      <c r="G55" s="2" t="s">
        <v>24</v>
      </c>
      <c r="M55" s="22"/>
      <c r="N55" s="24"/>
    </row>
    <row r="56" spans="1:14" x14ac:dyDescent="0.2">
      <c r="B56" s="50" t="s">
        <v>11</v>
      </c>
      <c r="C56" s="50"/>
      <c r="D56" s="144">
        <f>B34</f>
        <v>73900</v>
      </c>
      <c r="M56" s="22"/>
      <c r="N56" s="24"/>
    </row>
    <row r="57" spans="1:14" x14ac:dyDescent="0.2">
      <c r="A57" s="93" t="s">
        <v>25</v>
      </c>
      <c r="B57" s="50" t="s">
        <v>26</v>
      </c>
      <c r="C57" s="50"/>
      <c r="D57" s="94">
        <f>$G$54</f>
        <v>0.47868571428571427</v>
      </c>
    </row>
    <row r="58" spans="1:14" ht="15" x14ac:dyDescent="0.25">
      <c r="B58" s="50" t="s">
        <v>27</v>
      </c>
      <c r="C58" s="50"/>
      <c r="D58" s="164">
        <f>SUM(D56/D57)</f>
        <v>154381.04333293543</v>
      </c>
    </row>
    <row r="59" spans="1:14" x14ac:dyDescent="0.2">
      <c r="B59" s="87"/>
    </row>
    <row r="60" spans="1:14" ht="29.25" thickBot="1" x14ac:dyDescent="0.25">
      <c r="A60" s="50" t="s">
        <v>29</v>
      </c>
      <c r="B60" s="123"/>
      <c r="C60" s="120" t="s">
        <v>32</v>
      </c>
      <c r="D60" s="120" t="s">
        <v>50</v>
      </c>
      <c r="E60" s="120" t="s">
        <v>62</v>
      </c>
      <c r="F60" s="120" t="s">
        <v>63</v>
      </c>
      <c r="G60" s="4"/>
    </row>
    <row r="61" spans="1:14" ht="15" thickTop="1" x14ac:dyDescent="0.2">
      <c r="A61" s="50" t="s">
        <v>30</v>
      </c>
      <c r="B61" s="162">
        <f>D58</f>
        <v>154381.04333293543</v>
      </c>
      <c r="C61" s="163">
        <f>B61*B49</f>
        <v>69471.469499820945</v>
      </c>
      <c r="D61" s="163">
        <f>B61*B50</f>
        <v>27788.587799928377</v>
      </c>
      <c r="E61" s="163">
        <f>B61*B51</f>
        <v>7719.0521666467721</v>
      </c>
      <c r="F61" s="163">
        <f>B61*B52</f>
        <v>49401.933866539337</v>
      </c>
      <c r="G61" s="18"/>
    </row>
    <row r="62" spans="1:14" x14ac:dyDescent="0.2">
      <c r="A62" s="50" t="s">
        <v>31</v>
      </c>
      <c r="C62" s="106">
        <f>IF($D$49&lt;&gt;0,($B61*$B$49)/$D$49,NA())</f>
        <v>3473.5734749910471</v>
      </c>
      <c r="D62" s="106">
        <f>IF($D$50&lt;&gt;0,($B61*$B$50)/$D$50,NA())</f>
        <v>1852.5725199952251</v>
      </c>
      <c r="E62" s="106">
        <f>IF($D$51&lt;&gt;0,($B61*$B$51)/$D$51,NA())</f>
        <v>367.57391269746535</v>
      </c>
      <c r="F62" s="106">
        <f>IF($D$52&lt;&gt;0,($B61*$B$52)/$D$52,NA())</f>
        <v>2058.4139111058057</v>
      </c>
      <c r="G62" s="4"/>
    </row>
    <row r="64" spans="1:14" ht="15" thickBot="1" x14ac:dyDescent="0.25"/>
    <row r="65" spans="1:14" ht="16.5" thickTop="1" thickBot="1" x14ac:dyDescent="0.3">
      <c r="B65" s="171" t="s">
        <v>134</v>
      </c>
      <c r="C65" s="171"/>
      <c r="D65" s="171"/>
      <c r="E65" s="171"/>
      <c r="F65" s="171"/>
      <c r="J65" s="181" t="s">
        <v>132</v>
      </c>
      <c r="K65" s="182"/>
      <c r="L65" s="183"/>
    </row>
    <row r="66" spans="1:14" ht="29.25" thickTop="1" x14ac:dyDescent="0.2">
      <c r="B66" s="104" t="s">
        <v>64</v>
      </c>
      <c r="C66" s="104" t="s">
        <v>66</v>
      </c>
      <c r="D66" s="104" t="s">
        <v>65</v>
      </c>
      <c r="E66" s="40"/>
      <c r="J66" s="185" t="s">
        <v>76</v>
      </c>
      <c r="K66" s="186"/>
      <c r="L66" s="180">
        <v>0.45</v>
      </c>
      <c r="N66" s="14"/>
    </row>
    <row r="67" spans="1:14" x14ac:dyDescent="0.2">
      <c r="A67" s="54" t="s">
        <v>50</v>
      </c>
      <c r="B67" s="50">
        <v>1.25</v>
      </c>
      <c r="C67" s="50">
        <v>0.65</v>
      </c>
      <c r="D67" s="50">
        <f>SUM(B67)</f>
        <v>1.25</v>
      </c>
      <c r="J67" s="178" t="s">
        <v>50</v>
      </c>
      <c r="K67" s="178"/>
      <c r="L67" s="179">
        <v>0.13</v>
      </c>
    </row>
    <row r="68" spans="1:14" ht="15" x14ac:dyDescent="0.25">
      <c r="A68" s="54" t="s">
        <v>62</v>
      </c>
      <c r="B68" s="90">
        <v>1.5</v>
      </c>
      <c r="C68" s="50">
        <v>0.9</v>
      </c>
      <c r="D68" s="50">
        <f>B68-C68</f>
        <v>0.6</v>
      </c>
      <c r="J68" s="178" t="s">
        <v>62</v>
      </c>
      <c r="K68" s="178"/>
      <c r="L68" s="179">
        <v>0.1</v>
      </c>
    </row>
    <row r="69" spans="1:14" x14ac:dyDescent="0.2">
      <c r="A69" s="54" t="s">
        <v>63</v>
      </c>
      <c r="B69" s="50">
        <v>2</v>
      </c>
      <c r="C69" s="50">
        <v>1.05</v>
      </c>
      <c r="D69" s="50">
        <f>B69-C69</f>
        <v>0.95</v>
      </c>
      <c r="J69" s="178" t="s">
        <v>79</v>
      </c>
      <c r="K69" s="178"/>
      <c r="L69" s="179">
        <v>0.32</v>
      </c>
    </row>
    <row r="70" spans="1:14" ht="15" x14ac:dyDescent="0.2">
      <c r="J70" s="63"/>
    </row>
    <row r="71" spans="1:14" x14ac:dyDescent="0.2">
      <c r="B71" s="108" t="s">
        <v>12</v>
      </c>
      <c r="C71" s="165" t="s">
        <v>71</v>
      </c>
      <c r="D71" s="14" t="s">
        <v>13</v>
      </c>
      <c r="E71" s="14"/>
      <c r="F71" s="14"/>
      <c r="G71" s="14" t="s">
        <v>14</v>
      </c>
      <c r="H71" s="14" t="s">
        <v>15</v>
      </c>
    </row>
    <row r="72" spans="1:14" ht="15" thickBot="1" x14ac:dyDescent="0.25">
      <c r="A72" s="53" t="s">
        <v>16</v>
      </c>
      <c r="B72" s="97" t="s">
        <v>13</v>
      </c>
      <c r="C72" s="166"/>
      <c r="D72" s="15" t="s">
        <v>17</v>
      </c>
      <c r="E72" s="15" t="s">
        <v>18</v>
      </c>
      <c r="F72" s="15" t="s">
        <v>19</v>
      </c>
      <c r="G72" s="15" t="s">
        <v>20</v>
      </c>
      <c r="H72" s="15" t="s">
        <v>21</v>
      </c>
    </row>
    <row r="73" spans="1:14" ht="15" thickTop="1" x14ac:dyDescent="0.2">
      <c r="A73" s="54" t="s">
        <v>70</v>
      </c>
      <c r="B73" s="98">
        <v>0.45</v>
      </c>
      <c r="C73" s="99" t="s">
        <v>72</v>
      </c>
      <c r="D73" s="50">
        <f>SUM(4*B67)+(4*B68)+(4*B69)</f>
        <v>19</v>
      </c>
      <c r="E73" s="54">
        <f>SUM(4*C67)+(C68*4)+(4*C69)</f>
        <v>10.4</v>
      </c>
      <c r="F73" s="50">
        <f>SUM(D73-E73)</f>
        <v>8.6</v>
      </c>
      <c r="G73" s="88">
        <f>IF(D73&lt;&gt;0,F73/D73,0)</f>
        <v>0.45263157894736838</v>
      </c>
      <c r="H73" s="188">
        <f>$G$73*$B$73</f>
        <v>0.20368421052631577</v>
      </c>
    </row>
    <row r="74" spans="1:14" ht="15" x14ac:dyDescent="0.25">
      <c r="A74" s="54" t="s">
        <v>67</v>
      </c>
      <c r="B74" s="190">
        <v>0.13</v>
      </c>
      <c r="C74" s="100">
        <v>12</v>
      </c>
      <c r="D74" s="50">
        <f>SUM(C74*B67)</f>
        <v>15</v>
      </c>
      <c r="E74" s="50">
        <f>SUM(12*C67)</f>
        <v>7.8000000000000007</v>
      </c>
      <c r="F74" s="90">
        <f>SUM(D74-E74)</f>
        <v>7.1999999999999993</v>
      </c>
      <c r="G74" s="88">
        <f>IF(D74&lt;&gt;0,F74/D74,0)</f>
        <v>0.47999999999999993</v>
      </c>
      <c r="H74" s="188">
        <f>$G$74*$B$74</f>
        <v>6.239999999999999E-2</v>
      </c>
    </row>
    <row r="75" spans="1:14" ht="15" x14ac:dyDescent="0.25">
      <c r="A75" s="54" t="s">
        <v>68</v>
      </c>
      <c r="B75" s="190">
        <v>0.1</v>
      </c>
      <c r="C75" s="100">
        <v>12</v>
      </c>
      <c r="D75" s="50">
        <f>SUM(C75*B68)</f>
        <v>18</v>
      </c>
      <c r="E75" s="50">
        <f>SUM(12*C68)</f>
        <v>10.8</v>
      </c>
      <c r="F75" s="90">
        <f>SUM(D75-E75)</f>
        <v>7.1999999999999993</v>
      </c>
      <c r="G75" s="88">
        <f>IF(D75&lt;&gt;0,F75/D75,0)</f>
        <v>0.39999999999999997</v>
      </c>
      <c r="H75" s="188">
        <f>$G$75*$B$75</f>
        <v>0.04</v>
      </c>
    </row>
    <row r="76" spans="1:14" x14ac:dyDescent="0.2">
      <c r="A76" s="54" t="s">
        <v>69</v>
      </c>
      <c r="B76" s="98">
        <v>0.32</v>
      </c>
      <c r="C76" s="100">
        <v>12</v>
      </c>
      <c r="D76" s="50">
        <f>SUM(B69*C76)</f>
        <v>24</v>
      </c>
      <c r="E76" s="50">
        <f>SUM(12*C69)</f>
        <v>12.600000000000001</v>
      </c>
      <c r="F76" s="50">
        <f>SUM(D76-E76)</f>
        <v>11.399999999999999</v>
      </c>
      <c r="G76" s="88">
        <f>IF(D76&lt;&gt;0,F76/D76,0)</f>
        <v>0.47499999999999992</v>
      </c>
      <c r="H76" s="188">
        <f>$G$76*$B$76</f>
        <v>0.15199999999999997</v>
      </c>
    </row>
    <row r="77" spans="1:14" ht="15" thickBot="1" x14ac:dyDescent="0.25">
      <c r="B77" s="102"/>
      <c r="C77" s="103"/>
      <c r="D77" s="50"/>
      <c r="E77" s="50"/>
      <c r="F77" s="50"/>
      <c r="G77" s="53"/>
      <c r="H77" s="50"/>
    </row>
    <row r="78" spans="1:14" ht="15.75" thickTop="1" x14ac:dyDescent="0.25">
      <c r="A78" s="50" t="s">
        <v>22</v>
      </c>
      <c r="B78" s="103">
        <f>SUM(B73:B76)</f>
        <v>1</v>
      </c>
      <c r="C78" s="50"/>
      <c r="D78" s="50"/>
      <c r="E78" s="171" t="s">
        <v>23</v>
      </c>
      <c r="F78" s="171"/>
      <c r="G78" s="88">
        <f>SUM(H73:H76)</f>
        <v>0.4580842105263157</v>
      </c>
    </row>
    <row r="79" spans="1:14" x14ac:dyDescent="0.2">
      <c r="A79" s="88" t="s">
        <v>24</v>
      </c>
      <c r="D79" s="3" t="s">
        <v>24</v>
      </c>
      <c r="G79" s="2" t="s">
        <v>24</v>
      </c>
    </row>
    <row r="80" spans="1:14" x14ac:dyDescent="0.2">
      <c r="B80" s="50" t="s">
        <v>11</v>
      </c>
      <c r="C80" s="50"/>
      <c r="D80" s="144">
        <f>C34</f>
        <v>73900</v>
      </c>
    </row>
    <row r="81" spans="1:7" x14ac:dyDescent="0.2">
      <c r="A81" s="93" t="s">
        <v>25</v>
      </c>
      <c r="B81" s="50" t="s">
        <v>26</v>
      </c>
      <c r="C81" s="50"/>
      <c r="D81" s="94">
        <f>G78</f>
        <v>0.4580842105263157</v>
      </c>
    </row>
    <row r="82" spans="1:7" ht="15" x14ac:dyDescent="0.25">
      <c r="B82" s="50" t="s">
        <v>27</v>
      </c>
      <c r="C82" s="50"/>
      <c r="D82" s="164">
        <f>IF($D$81&lt;&gt;0,SUM(D80/$D$81),0)</f>
        <v>161324.04981846595</v>
      </c>
    </row>
    <row r="83" spans="1:7" x14ac:dyDescent="0.2">
      <c r="C83" s="50"/>
      <c r="D83" s="50"/>
    </row>
    <row r="84" spans="1:7" x14ac:dyDescent="0.2">
      <c r="B84" s="87"/>
    </row>
    <row r="85" spans="1:7" ht="29.25" thickBot="1" x14ac:dyDescent="0.25">
      <c r="A85" s="50" t="s">
        <v>29</v>
      </c>
      <c r="B85" s="123"/>
      <c r="C85" s="120" t="s">
        <v>32</v>
      </c>
      <c r="D85" s="120" t="s">
        <v>50</v>
      </c>
      <c r="E85" s="120" t="s">
        <v>62</v>
      </c>
      <c r="F85" s="120" t="s">
        <v>63</v>
      </c>
      <c r="G85" s="4"/>
    </row>
    <row r="86" spans="1:7" ht="15" thickTop="1" x14ac:dyDescent="0.2">
      <c r="A86" s="50" t="s">
        <v>30</v>
      </c>
      <c r="B86" s="162">
        <f>D82</f>
        <v>161324.04981846595</v>
      </c>
      <c r="C86" s="163">
        <f>B86*B73</f>
        <v>72595.822418309675</v>
      </c>
      <c r="D86" s="163">
        <f>B86*B74</f>
        <v>20972.126476400575</v>
      </c>
      <c r="E86" s="163">
        <f>B86*B75</f>
        <v>16132.404981846596</v>
      </c>
      <c r="F86" s="163">
        <f>B86*B76</f>
        <v>51623.695941909107</v>
      </c>
      <c r="G86" s="18"/>
    </row>
    <row r="87" spans="1:7" x14ac:dyDescent="0.2">
      <c r="A87" s="50" t="s">
        <v>31</v>
      </c>
      <c r="C87" s="106">
        <f>IF($D$49&lt;&gt;0,($B86*$B$49)/$D$49,NA())</f>
        <v>3629.7911209154836</v>
      </c>
      <c r="D87" s="106">
        <f>IF($D$50&lt;&gt;0,($B86*$B$50)/$D$50,NA())</f>
        <v>1935.8885978215912</v>
      </c>
      <c r="E87" s="106">
        <f>IF($D$51&lt;&gt;0,($B86*$B$51)/$D$51,NA())</f>
        <v>384.10488052015705</v>
      </c>
      <c r="F87" s="106">
        <f>IF($D$52&lt;&gt;0,($B86*$B$52)/$D$52,NA())</f>
        <v>2150.9873309128793</v>
      </c>
      <c r="G87" s="4"/>
    </row>
  </sheetData>
  <mergeCells count="13">
    <mergeCell ref="J66:K66"/>
    <mergeCell ref="J65:L65"/>
    <mergeCell ref="B65:F65"/>
    <mergeCell ref="C71:C72"/>
    <mergeCell ref="E78:F78"/>
    <mergeCell ref="A2:C2"/>
    <mergeCell ref="A3:C3"/>
    <mergeCell ref="A40:D40"/>
    <mergeCell ref="C47:C48"/>
    <mergeCell ref="E54:F54"/>
    <mergeCell ref="J69:K69"/>
    <mergeCell ref="J68:K68"/>
    <mergeCell ref="J67:K67"/>
  </mergeCells>
  <printOptions gridLines="1" gridLinesSet="0"/>
  <pageMargins left="0.5" right="0.5" top="0.25" bottom="0.25" header="0.5" footer="0.5"/>
  <pageSetup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4" workbookViewId="0">
      <selection activeCell="A16" sqref="A16:D31"/>
    </sheetView>
  </sheetViews>
  <sheetFormatPr defaultRowHeight="12.75" x14ac:dyDescent="0.2"/>
  <cols>
    <col min="1" max="1" width="26.42578125" style="52" customWidth="1"/>
    <col min="2" max="2" width="13.140625" style="52" customWidth="1"/>
    <col min="3" max="5" width="9.140625" style="52"/>
    <col min="6" max="6" width="10.28515625" style="52" bestFit="1" customWidth="1"/>
    <col min="7" max="8" width="9.140625" style="52"/>
    <col min="9" max="9" width="10.28515625" style="81" bestFit="1" customWidth="1"/>
    <col min="12" max="12" width="15.85546875" bestFit="1" customWidth="1"/>
    <col min="13" max="18" width="11.5703125" bestFit="1" customWidth="1"/>
  </cols>
  <sheetData>
    <row r="1" spans="1:9" ht="15" x14ac:dyDescent="0.25">
      <c r="A1" s="175" t="s">
        <v>52</v>
      </c>
      <c r="B1" s="175"/>
      <c r="C1" s="175"/>
      <c r="D1" s="175"/>
      <c r="E1" s="175"/>
      <c r="F1" s="175"/>
      <c r="G1" s="175"/>
      <c r="H1" s="175"/>
      <c r="I1" s="175"/>
    </row>
    <row r="2" spans="1:9" ht="28.5" x14ac:dyDescent="0.2">
      <c r="A2" s="41"/>
      <c r="B2" s="42" t="s">
        <v>53</v>
      </c>
      <c r="C2" s="43" t="s">
        <v>54</v>
      </c>
      <c r="D2" s="43" t="s">
        <v>55</v>
      </c>
      <c r="E2" s="43" t="s">
        <v>56</v>
      </c>
      <c r="F2" s="43" t="s">
        <v>57</v>
      </c>
      <c r="G2" s="43" t="s">
        <v>58</v>
      </c>
      <c r="H2" s="43" t="s">
        <v>59</v>
      </c>
      <c r="I2" s="78" t="s">
        <v>60</v>
      </c>
    </row>
    <row r="3" spans="1:9" ht="15" x14ac:dyDescent="0.25">
      <c r="A3" s="44" t="s">
        <v>38</v>
      </c>
      <c r="B3" s="45"/>
      <c r="C3" s="45"/>
      <c r="D3" s="45"/>
      <c r="E3" s="45"/>
      <c r="F3" s="45"/>
      <c r="G3" s="45"/>
      <c r="H3" s="45"/>
      <c r="I3" s="48"/>
    </row>
    <row r="4" spans="1:9" ht="14.25" x14ac:dyDescent="0.2">
      <c r="A4" s="45" t="s">
        <v>32</v>
      </c>
      <c r="B4" s="45"/>
      <c r="C4" s="45">
        <f>SUM($B$40*$H$40)</f>
        <v>112500</v>
      </c>
      <c r="D4" s="45">
        <f>SUM($C$40*$H$40)</f>
        <v>121500</v>
      </c>
      <c r="E4" s="45">
        <f>SUM($D$40*$H$40)</f>
        <v>99000</v>
      </c>
      <c r="F4" s="45">
        <f>SUM($E$40*$H$40)</f>
        <v>101250</v>
      </c>
      <c r="G4" s="45">
        <f>SUM($F$40*$H$40)</f>
        <v>128250</v>
      </c>
      <c r="H4" s="45">
        <f>SUM($G$40*$H$40)</f>
        <v>118800</v>
      </c>
      <c r="I4" s="48">
        <f>SUM(B4:H4)</f>
        <v>681300</v>
      </c>
    </row>
    <row r="5" spans="1:9" ht="14.25" x14ac:dyDescent="0.2">
      <c r="A5" s="45" t="s">
        <v>50</v>
      </c>
      <c r="B5" s="45"/>
      <c r="C5" s="45">
        <f>SUM($B$41*$H$41)</f>
        <v>33750</v>
      </c>
      <c r="D5" s="45">
        <f>SUM($C$41*$H$41)</f>
        <v>36450</v>
      </c>
      <c r="E5" s="45">
        <f>SUM($D$41*$H$41)</f>
        <v>29700</v>
      </c>
      <c r="F5" s="45">
        <f>SUM($E$41*$H$41)</f>
        <v>30375</v>
      </c>
      <c r="G5" s="45">
        <f>SUM($F$41*$H$41)</f>
        <v>38475</v>
      </c>
      <c r="H5" s="45">
        <f>SUM($G$41*$H$41)</f>
        <v>35640</v>
      </c>
      <c r="I5" s="48">
        <f>SUM(C5:H5)</f>
        <v>204390</v>
      </c>
    </row>
    <row r="6" spans="1:9" ht="14.25" x14ac:dyDescent="0.2">
      <c r="A6" s="45" t="s">
        <v>62</v>
      </c>
      <c r="B6" s="45"/>
      <c r="C6" s="45">
        <f>SUM($B$42*$H$42)</f>
        <v>13125</v>
      </c>
      <c r="D6" s="45">
        <f>SUM($C$42*$H$42)</f>
        <v>14175</v>
      </c>
      <c r="E6" s="45">
        <f>SUM($D$42*$H$42)</f>
        <v>11550</v>
      </c>
      <c r="F6" s="45">
        <f>SUM($E$42*$H$42)</f>
        <v>11812.5</v>
      </c>
      <c r="G6" s="45">
        <f>SUM($F$42*$H$42)</f>
        <v>14962.5</v>
      </c>
      <c r="H6" s="45">
        <f>SUM($G$42*$H$42)</f>
        <v>13860</v>
      </c>
      <c r="I6" s="48">
        <f t="shared" ref="I6:I7" si="0">SUM(C6:H6)</f>
        <v>79485</v>
      </c>
    </row>
    <row r="7" spans="1:9" ht="15" thickBot="1" x14ac:dyDescent="0.25">
      <c r="A7" s="45" t="s">
        <v>63</v>
      </c>
      <c r="B7" s="45"/>
      <c r="C7" s="46">
        <f>SUM($B$43*$H$43)</f>
        <v>96000</v>
      </c>
      <c r="D7" s="46">
        <f>SUM($C$43*$H$43)</f>
        <v>103680</v>
      </c>
      <c r="E7" s="46">
        <f>SUM($D$43*$H$43)</f>
        <v>84480</v>
      </c>
      <c r="F7" s="46">
        <f>SUM($E$43*$H$43)</f>
        <v>86400</v>
      </c>
      <c r="G7" s="46">
        <f>SUM($F$43*$H$43)</f>
        <v>109440</v>
      </c>
      <c r="H7" s="46">
        <f>SUM($G$43*$H$43)</f>
        <v>101376</v>
      </c>
      <c r="I7" s="48">
        <f t="shared" si="0"/>
        <v>581376</v>
      </c>
    </row>
    <row r="8" spans="1:9" ht="16.5" thickTop="1" thickBot="1" x14ac:dyDescent="0.3">
      <c r="A8" s="44" t="s">
        <v>39</v>
      </c>
      <c r="B8" s="45"/>
      <c r="C8" s="47">
        <f t="shared" ref="C8:I8" si="1">SUM(C4:C7)</f>
        <v>255375</v>
      </c>
      <c r="D8" s="47">
        <f t="shared" si="1"/>
        <v>275805</v>
      </c>
      <c r="E8" s="47">
        <f t="shared" si="1"/>
        <v>224730</v>
      </c>
      <c r="F8" s="47">
        <f t="shared" si="1"/>
        <v>229837.5</v>
      </c>
      <c r="G8" s="47">
        <f t="shared" si="1"/>
        <v>291127.5</v>
      </c>
      <c r="H8" s="47">
        <f t="shared" si="1"/>
        <v>269676</v>
      </c>
      <c r="I8" s="79">
        <f t="shared" si="1"/>
        <v>1546551</v>
      </c>
    </row>
    <row r="9" spans="1:9" ht="15" x14ac:dyDescent="0.25">
      <c r="A9" s="44"/>
      <c r="B9" s="45"/>
      <c r="C9" s="45"/>
      <c r="D9" s="45"/>
      <c r="E9" s="45"/>
      <c r="F9" s="45"/>
      <c r="G9" s="45"/>
      <c r="H9" s="45"/>
      <c r="I9" s="48"/>
    </row>
    <row r="10" spans="1:9" ht="14.25" x14ac:dyDescent="0.2">
      <c r="A10" s="45"/>
      <c r="B10" s="45"/>
      <c r="C10" s="45"/>
      <c r="D10" s="45"/>
      <c r="E10" s="45"/>
      <c r="F10" s="45"/>
      <c r="G10" s="45"/>
      <c r="H10" s="45"/>
      <c r="I10" s="48"/>
    </row>
    <row r="11" spans="1:9" ht="15" x14ac:dyDescent="0.25">
      <c r="A11" s="44" t="s">
        <v>40</v>
      </c>
      <c r="B11" s="45"/>
      <c r="C11" s="45"/>
      <c r="D11" s="45"/>
      <c r="E11" s="45"/>
      <c r="F11" s="45"/>
      <c r="G11" s="45"/>
      <c r="H11" s="45"/>
      <c r="I11" s="48"/>
    </row>
    <row r="12" spans="1:9" ht="14.25" x14ac:dyDescent="0.2">
      <c r="A12" s="45" t="s">
        <v>41</v>
      </c>
      <c r="B12" s="45"/>
      <c r="C12" s="45">
        <f>SUM(B40*I40)+(B41*I41)+(B42*I42)+(B43*I43)</f>
        <v>133200</v>
      </c>
      <c r="D12" s="45">
        <f>SUM(C40*I40)+(C41*I41)+(C42*I42)+(C43*I43)</f>
        <v>143856</v>
      </c>
      <c r="E12" s="45">
        <f>SUM(D40*I40)+(D41*I41)+(D42*I42)+(D43*I43)</f>
        <v>117216</v>
      </c>
      <c r="F12" s="45">
        <f>SUM(E40*I40)+(E41*I41)+(E42*I42)+(E43*I43)</f>
        <v>119880</v>
      </c>
      <c r="G12" s="45">
        <f>SUM(F40*I40)+(F41*I41)+(F42*I42)+(F43*I43)</f>
        <v>151848</v>
      </c>
      <c r="H12" s="45">
        <f>SUM(G40*I40)+(G41*I41)+(G42*I42)+(G43*I43)</f>
        <v>140659.20000000001</v>
      </c>
      <c r="I12" s="45">
        <f>SUM(C12:H12)</f>
        <v>806659.2</v>
      </c>
    </row>
    <row r="13" spans="1:9" ht="15" x14ac:dyDescent="0.25">
      <c r="A13" s="44"/>
      <c r="B13" s="45"/>
      <c r="C13" s="45"/>
      <c r="D13" s="45"/>
      <c r="E13" s="45"/>
      <c r="F13" s="45"/>
      <c r="G13" s="45"/>
      <c r="H13" s="45"/>
      <c r="I13" s="48"/>
    </row>
    <row r="14" spans="1:9" ht="15.75" thickBot="1" x14ac:dyDescent="0.3">
      <c r="A14" s="44" t="s">
        <v>42</v>
      </c>
      <c r="B14" s="45"/>
      <c r="C14" s="217">
        <f>$C$8-$C$12</f>
        <v>122175</v>
      </c>
      <c r="D14" s="217">
        <f t="shared" ref="D14:I14" si="2">D8-D12</f>
        <v>131949</v>
      </c>
      <c r="E14" s="217">
        <f t="shared" si="2"/>
        <v>107514</v>
      </c>
      <c r="F14" s="217">
        <f t="shared" si="2"/>
        <v>109957.5</v>
      </c>
      <c r="G14" s="217">
        <f t="shared" si="2"/>
        <v>139279.5</v>
      </c>
      <c r="H14" s="217">
        <f t="shared" si="2"/>
        <v>129016.79999999999</v>
      </c>
      <c r="I14" s="218">
        <f t="shared" si="2"/>
        <v>739891.8</v>
      </c>
    </row>
    <row r="15" spans="1:9" ht="15.75" thickTop="1" x14ac:dyDescent="0.25">
      <c r="A15" s="44"/>
      <c r="B15" s="45"/>
      <c r="C15" s="45"/>
      <c r="D15" s="45"/>
      <c r="E15" s="45"/>
      <c r="F15" s="45"/>
      <c r="G15" s="45"/>
      <c r="H15" s="45"/>
      <c r="I15" s="48"/>
    </row>
    <row r="16" spans="1:9" ht="15" x14ac:dyDescent="0.25">
      <c r="A16" s="44" t="s">
        <v>43</v>
      </c>
      <c r="B16" s="45"/>
      <c r="C16" s="45"/>
      <c r="D16" s="45"/>
      <c r="E16" s="45"/>
      <c r="F16" s="45"/>
      <c r="G16" s="45"/>
      <c r="H16" s="45"/>
      <c r="I16" s="48"/>
    </row>
    <row r="17" spans="1:18" ht="14.25" x14ac:dyDescent="0.2">
      <c r="A17" s="45" t="s">
        <v>1</v>
      </c>
      <c r="B17" s="45">
        <v>1000</v>
      </c>
      <c r="C17" s="45">
        <v>1000</v>
      </c>
      <c r="D17" s="45">
        <v>1000</v>
      </c>
      <c r="E17" s="45">
        <v>1000</v>
      </c>
      <c r="F17" s="45">
        <v>1000</v>
      </c>
      <c r="G17" s="45">
        <v>1000</v>
      </c>
      <c r="H17" s="45">
        <v>1000</v>
      </c>
      <c r="I17" s="48">
        <f>SUM(B17:H17)</f>
        <v>7000</v>
      </c>
    </row>
    <row r="18" spans="1:18" ht="14.25" x14ac:dyDescent="0.2">
      <c r="A18" s="45" t="s">
        <v>2</v>
      </c>
      <c r="B18" s="45">
        <v>250</v>
      </c>
      <c r="C18" s="45">
        <v>150</v>
      </c>
      <c r="D18" s="45">
        <v>150</v>
      </c>
      <c r="E18" s="45">
        <v>150</v>
      </c>
      <c r="F18" s="45">
        <v>150</v>
      </c>
      <c r="G18" s="45">
        <v>150</v>
      </c>
      <c r="H18" s="45">
        <v>150</v>
      </c>
      <c r="I18" s="48">
        <f t="shared" ref="I18:I34" si="3">SUM(B18:H18)</f>
        <v>1150</v>
      </c>
    </row>
    <row r="19" spans="1:18" ht="14.25" x14ac:dyDescent="0.2">
      <c r="A19" s="45" t="s">
        <v>3</v>
      </c>
      <c r="B19" s="45">
        <v>800</v>
      </c>
      <c r="C19" s="45">
        <v>75</v>
      </c>
      <c r="D19" s="45">
        <v>75</v>
      </c>
      <c r="E19" s="45">
        <v>75</v>
      </c>
      <c r="F19" s="45">
        <v>75</v>
      </c>
      <c r="G19" s="45">
        <v>75</v>
      </c>
      <c r="H19" s="45">
        <v>75</v>
      </c>
      <c r="I19" s="48">
        <f t="shared" si="3"/>
        <v>1250</v>
      </c>
    </row>
    <row r="20" spans="1:18" ht="14.25" x14ac:dyDescent="0.2">
      <c r="A20" s="45" t="s">
        <v>4</v>
      </c>
      <c r="B20" s="45">
        <v>100</v>
      </c>
      <c r="C20" s="45">
        <v>100</v>
      </c>
      <c r="D20" s="45">
        <v>100</v>
      </c>
      <c r="E20" s="45">
        <v>100</v>
      </c>
      <c r="F20" s="45">
        <v>100</v>
      </c>
      <c r="G20" s="45">
        <v>100</v>
      </c>
      <c r="H20" s="45">
        <v>100</v>
      </c>
      <c r="I20" s="48">
        <f t="shared" si="3"/>
        <v>700</v>
      </c>
    </row>
    <row r="21" spans="1:18" ht="14.25" x14ac:dyDescent="0.2">
      <c r="A21" s="45" t="s">
        <v>37</v>
      </c>
      <c r="B21" s="45">
        <v>175</v>
      </c>
      <c r="C21" s="45">
        <v>75</v>
      </c>
      <c r="D21" s="45">
        <v>75</v>
      </c>
      <c r="E21" s="45">
        <v>75</v>
      </c>
      <c r="F21" s="45">
        <v>75</v>
      </c>
      <c r="G21" s="45">
        <v>75</v>
      </c>
      <c r="H21" s="45">
        <v>75</v>
      </c>
      <c r="I21" s="48">
        <f t="shared" si="3"/>
        <v>625</v>
      </c>
    </row>
    <row r="22" spans="1:18" ht="14.25" x14ac:dyDescent="0.2">
      <c r="A22" s="45" t="s">
        <v>36</v>
      </c>
      <c r="B22" s="45"/>
      <c r="C22" s="45">
        <v>175</v>
      </c>
      <c r="D22" s="45">
        <v>175</v>
      </c>
      <c r="E22" s="45">
        <v>175</v>
      </c>
      <c r="F22" s="45">
        <v>175</v>
      </c>
      <c r="G22" s="45">
        <v>175</v>
      </c>
      <c r="H22" s="45">
        <v>175</v>
      </c>
      <c r="I22" s="48">
        <f t="shared" si="3"/>
        <v>1050</v>
      </c>
    </row>
    <row r="23" spans="1:18" ht="14.25" x14ac:dyDescent="0.2">
      <c r="A23" s="45" t="s">
        <v>5</v>
      </c>
      <c r="B23" s="45"/>
      <c r="C23" s="45">
        <v>8400</v>
      </c>
      <c r="D23" s="45">
        <v>8400</v>
      </c>
      <c r="E23" s="45">
        <v>8400</v>
      </c>
      <c r="F23" s="45">
        <v>8400</v>
      </c>
      <c r="G23" s="45">
        <v>8400</v>
      </c>
      <c r="H23" s="45">
        <v>8400</v>
      </c>
      <c r="I23" s="48">
        <f t="shared" si="3"/>
        <v>50400</v>
      </c>
    </row>
    <row r="24" spans="1:18" ht="14.25" x14ac:dyDescent="0.2">
      <c r="A24" s="45" t="s">
        <v>6</v>
      </c>
      <c r="B24" s="45"/>
      <c r="C24" s="45">
        <v>1000</v>
      </c>
      <c r="D24" s="45">
        <v>1000</v>
      </c>
      <c r="E24" s="45">
        <v>1000</v>
      </c>
      <c r="F24" s="45">
        <v>1000</v>
      </c>
      <c r="G24" s="45">
        <v>1000</v>
      </c>
      <c r="H24" s="45">
        <v>1000</v>
      </c>
      <c r="I24" s="48">
        <f t="shared" si="3"/>
        <v>6000</v>
      </c>
    </row>
    <row r="25" spans="1:18" ht="14.25" x14ac:dyDescent="0.2">
      <c r="A25" s="45" t="s">
        <v>81</v>
      </c>
      <c r="B25" s="45">
        <v>450</v>
      </c>
      <c r="C25" s="45">
        <v>150</v>
      </c>
      <c r="D25" s="45">
        <v>150</v>
      </c>
      <c r="E25" s="45">
        <v>150</v>
      </c>
      <c r="F25" s="45">
        <v>150</v>
      </c>
      <c r="G25" s="45">
        <v>150</v>
      </c>
      <c r="H25" s="45">
        <v>150</v>
      </c>
      <c r="I25" s="48">
        <f t="shared" si="3"/>
        <v>1350</v>
      </c>
    </row>
    <row r="26" spans="1:18" ht="14.25" x14ac:dyDescent="0.2">
      <c r="A26" s="45" t="s">
        <v>8</v>
      </c>
      <c r="B26" s="45"/>
      <c r="C26" s="45"/>
      <c r="D26" s="45"/>
      <c r="E26" s="45"/>
      <c r="F26" s="45"/>
      <c r="G26" s="45"/>
      <c r="H26" s="45"/>
      <c r="I26" s="48">
        <f t="shared" si="3"/>
        <v>0</v>
      </c>
    </row>
    <row r="27" spans="1:18" ht="14.25" x14ac:dyDescent="0.2">
      <c r="A27" s="45" t="s">
        <v>9</v>
      </c>
      <c r="B27" s="45"/>
      <c r="C27" s="45">
        <v>115</v>
      </c>
      <c r="D27" s="45">
        <v>115</v>
      </c>
      <c r="E27" s="45">
        <v>115</v>
      </c>
      <c r="F27" s="45">
        <v>115</v>
      </c>
      <c r="G27" s="45">
        <v>115</v>
      </c>
      <c r="H27" s="45">
        <v>115</v>
      </c>
      <c r="I27" s="48">
        <f t="shared" si="3"/>
        <v>690</v>
      </c>
    </row>
    <row r="28" spans="1:18" ht="14.25" x14ac:dyDescent="0.2">
      <c r="A28" s="45" t="s">
        <v>73</v>
      </c>
      <c r="B28" s="45">
        <v>200</v>
      </c>
      <c r="C28" s="45">
        <v>150</v>
      </c>
      <c r="D28" s="45">
        <v>150</v>
      </c>
      <c r="E28" s="45">
        <v>150</v>
      </c>
      <c r="F28" s="45">
        <v>150</v>
      </c>
      <c r="G28" s="45">
        <v>150</v>
      </c>
      <c r="H28" s="45">
        <v>150</v>
      </c>
      <c r="I28" s="48">
        <f t="shared" si="3"/>
        <v>1100</v>
      </c>
    </row>
    <row r="29" spans="1:18" ht="14.25" x14ac:dyDescent="0.2">
      <c r="A29" s="45" t="s">
        <v>74</v>
      </c>
      <c r="B29" s="45">
        <v>8000</v>
      </c>
      <c r="C29" s="45"/>
      <c r="D29" s="45"/>
      <c r="E29" s="45"/>
      <c r="F29" s="45"/>
      <c r="G29" s="45"/>
      <c r="H29" s="45"/>
      <c r="I29" s="48">
        <f t="shared" si="3"/>
        <v>8000</v>
      </c>
    </row>
    <row r="30" spans="1:18" ht="15" thickBot="1" x14ac:dyDescent="0.25">
      <c r="A30" s="45" t="s">
        <v>10</v>
      </c>
      <c r="B30" s="46">
        <v>1650</v>
      </c>
      <c r="C30" s="46">
        <v>250</v>
      </c>
      <c r="D30" s="46">
        <v>250</v>
      </c>
      <c r="E30" s="46">
        <v>250</v>
      </c>
      <c r="F30" s="46">
        <v>250</v>
      </c>
      <c r="G30" s="46">
        <v>250</v>
      </c>
      <c r="H30" s="46">
        <v>250</v>
      </c>
      <c r="I30" s="80">
        <f t="shared" si="3"/>
        <v>3150</v>
      </c>
    </row>
    <row r="31" spans="1:18" ht="16.5" thickTop="1" thickBot="1" x14ac:dyDescent="0.3">
      <c r="A31" s="44" t="s">
        <v>44</v>
      </c>
      <c r="B31" s="41">
        <f>SUM(B17:B30)</f>
        <v>12625</v>
      </c>
      <c r="C31" s="41">
        <f t="shared" ref="C31:H31" si="4">SUM(C17:C30)</f>
        <v>11640</v>
      </c>
      <c r="D31" s="41">
        <f t="shared" si="4"/>
        <v>11640</v>
      </c>
      <c r="E31" s="41">
        <f t="shared" si="4"/>
        <v>11640</v>
      </c>
      <c r="F31" s="41">
        <f t="shared" si="4"/>
        <v>11640</v>
      </c>
      <c r="G31" s="41">
        <f t="shared" si="4"/>
        <v>11640</v>
      </c>
      <c r="H31" s="41">
        <f t="shared" si="4"/>
        <v>11640</v>
      </c>
      <c r="I31" s="219">
        <f t="shared" si="3"/>
        <v>82465</v>
      </c>
    </row>
    <row r="32" spans="1:18" ht="15.75" thickTop="1" x14ac:dyDescent="0.25">
      <c r="A32" s="44"/>
      <c r="B32" s="45"/>
      <c r="C32" s="45"/>
      <c r="D32" s="45"/>
      <c r="E32" s="45"/>
      <c r="F32" s="45"/>
      <c r="G32" s="45"/>
      <c r="H32" s="45"/>
      <c r="I32" s="48"/>
      <c r="L32" s="196" t="s">
        <v>136</v>
      </c>
      <c r="M32" s="197"/>
      <c r="N32" s="197"/>
      <c r="O32" s="197"/>
      <c r="P32" s="197"/>
      <c r="Q32" s="197"/>
      <c r="R32" s="198"/>
    </row>
    <row r="33" spans="1:18" ht="15.75" thickBot="1" x14ac:dyDescent="0.3">
      <c r="A33" s="44" t="s">
        <v>45</v>
      </c>
      <c r="B33" s="45"/>
      <c r="C33" s="45"/>
      <c r="D33" s="45"/>
      <c r="E33" s="45"/>
      <c r="F33" s="45"/>
      <c r="G33" s="45"/>
      <c r="H33" s="45"/>
      <c r="I33" s="48"/>
      <c r="L33" s="199"/>
      <c r="M33" s="194" t="s">
        <v>54</v>
      </c>
      <c r="N33" s="195" t="s">
        <v>55</v>
      </c>
      <c r="O33" s="193" t="s">
        <v>56</v>
      </c>
      <c r="P33" s="195" t="s">
        <v>57</v>
      </c>
      <c r="Q33" s="193" t="s">
        <v>58</v>
      </c>
      <c r="R33" s="200" t="s">
        <v>59</v>
      </c>
    </row>
    <row r="34" spans="1:18" ht="15.75" thickTop="1" x14ac:dyDescent="0.25">
      <c r="A34" s="44" t="s">
        <v>46</v>
      </c>
      <c r="B34" s="219">
        <f>SUM(B14-B31)</f>
        <v>-12625</v>
      </c>
      <c r="C34" s="219">
        <f t="shared" ref="C34:H34" si="5">SUM(C14-C31)</f>
        <v>110535</v>
      </c>
      <c r="D34" s="219">
        <f t="shared" si="5"/>
        <v>120309</v>
      </c>
      <c r="E34" s="219">
        <f t="shared" si="5"/>
        <v>95874</v>
      </c>
      <c r="F34" s="219">
        <f t="shared" si="5"/>
        <v>98317.5</v>
      </c>
      <c r="G34" s="219">
        <f t="shared" si="5"/>
        <v>127639.5</v>
      </c>
      <c r="H34" s="219">
        <f t="shared" si="5"/>
        <v>117376.79999999999</v>
      </c>
      <c r="I34" s="219">
        <f t="shared" si="3"/>
        <v>657426.80000000005</v>
      </c>
      <c r="L34" s="201" t="s">
        <v>76</v>
      </c>
      <c r="M34" s="207">
        <f>SUM(M39*$M$43)</f>
        <v>5625</v>
      </c>
      <c r="N34" s="207">
        <f>SUM(N39*$M$43)</f>
        <v>6075</v>
      </c>
      <c r="O34" s="207">
        <f>SUM(O39*$M$43)</f>
        <v>4950</v>
      </c>
      <c r="P34" s="207">
        <f>SUM(P39*$M$43)</f>
        <v>5062.5</v>
      </c>
      <c r="Q34" s="207">
        <f>SUM(Q39*M43)</f>
        <v>6412.5</v>
      </c>
      <c r="R34" s="207">
        <f>SUM(R39*M43)</f>
        <v>5940</v>
      </c>
    </row>
    <row r="35" spans="1:18" ht="15" x14ac:dyDescent="0.25">
      <c r="A35" s="44"/>
      <c r="B35" s="45"/>
      <c r="C35" s="45"/>
      <c r="D35" s="45"/>
      <c r="E35" s="45"/>
      <c r="F35" s="45"/>
      <c r="G35" s="45"/>
      <c r="H35" s="45"/>
      <c r="I35" s="48"/>
      <c r="L35" s="201" t="s">
        <v>77</v>
      </c>
      <c r="M35" s="207">
        <f>SUM(M39*M44)</f>
        <v>2250</v>
      </c>
      <c r="N35" s="208">
        <f>SUM(N39*M44)</f>
        <v>2430</v>
      </c>
      <c r="O35" s="209">
        <f>O39*M44</f>
        <v>1980</v>
      </c>
      <c r="P35" s="208">
        <f>P39*M44</f>
        <v>2025</v>
      </c>
      <c r="Q35" s="209">
        <f>Q39*M44</f>
        <v>2565</v>
      </c>
      <c r="R35" s="210">
        <f>R39*M44</f>
        <v>2376</v>
      </c>
    </row>
    <row r="36" spans="1:18" ht="15" x14ac:dyDescent="0.25">
      <c r="A36" s="44"/>
      <c r="B36" s="41"/>
      <c r="C36" s="41"/>
      <c r="D36" s="41"/>
      <c r="E36" s="41"/>
      <c r="F36" s="41"/>
      <c r="G36" s="41"/>
      <c r="H36" s="41"/>
      <c r="I36" s="48"/>
      <c r="L36" s="201" t="s">
        <v>78</v>
      </c>
      <c r="M36" s="207">
        <f>M39*M45</f>
        <v>625</v>
      </c>
      <c r="N36" s="208">
        <f>N39*M45</f>
        <v>675</v>
      </c>
      <c r="O36" s="209">
        <f>O39*M45</f>
        <v>550</v>
      </c>
      <c r="P36" s="208">
        <f>P39*M45</f>
        <v>562.5</v>
      </c>
      <c r="Q36" s="209">
        <f>Q39*M45</f>
        <v>712.5</v>
      </c>
      <c r="R36" s="210">
        <f>R39*M45</f>
        <v>660</v>
      </c>
    </row>
    <row r="37" spans="1:18" ht="15.75" thickBot="1" x14ac:dyDescent="0.3">
      <c r="A37" s="44"/>
      <c r="B37" s="41"/>
      <c r="C37" s="49"/>
      <c r="D37" s="49"/>
      <c r="E37" s="49"/>
      <c r="F37" s="49"/>
      <c r="G37" s="49"/>
      <c r="H37" s="49"/>
      <c r="I37" s="48"/>
      <c r="L37" s="202" t="s">
        <v>79</v>
      </c>
      <c r="M37" s="211">
        <f>M39*M46</f>
        <v>4000</v>
      </c>
      <c r="N37" s="212">
        <f>N39*M46</f>
        <v>4320</v>
      </c>
      <c r="O37" s="213">
        <f>O39*M46</f>
        <v>3520</v>
      </c>
      <c r="P37" s="212">
        <f>P39*M46</f>
        <v>3600</v>
      </c>
      <c r="Q37" s="213">
        <f>Q39*M46</f>
        <v>4560</v>
      </c>
      <c r="R37" s="214">
        <f>R39*M46</f>
        <v>4224</v>
      </c>
    </row>
    <row r="38" spans="1:18" ht="12.75" customHeight="1" thickTop="1" x14ac:dyDescent="0.2">
      <c r="A38" s="50"/>
      <c r="B38" s="51"/>
    </row>
    <row r="39" spans="1:18" ht="13.5" customHeight="1" thickBot="1" x14ac:dyDescent="0.25">
      <c r="A39" s="53" t="s">
        <v>16</v>
      </c>
      <c r="B39" s="222" t="s">
        <v>54</v>
      </c>
      <c r="C39" s="222" t="s">
        <v>55</v>
      </c>
      <c r="D39" s="222" t="s">
        <v>56</v>
      </c>
      <c r="E39" s="222" t="s">
        <v>57</v>
      </c>
      <c r="F39" s="222" t="s">
        <v>58</v>
      </c>
      <c r="G39" s="222" t="s">
        <v>59</v>
      </c>
      <c r="H39" s="226" t="s">
        <v>75</v>
      </c>
      <c r="I39" s="227" t="s">
        <v>18</v>
      </c>
      <c r="L39" s="203" t="s">
        <v>137</v>
      </c>
      <c r="M39" s="152">
        <v>12500</v>
      </c>
      <c r="N39" s="152">
        <v>13500</v>
      </c>
      <c r="O39" s="152">
        <v>11000</v>
      </c>
      <c r="P39" s="152">
        <v>11250</v>
      </c>
      <c r="Q39" s="152">
        <v>14250</v>
      </c>
      <c r="R39" s="152">
        <v>13200</v>
      </c>
    </row>
    <row r="40" spans="1:18" ht="15.75" thickTop="1" x14ac:dyDescent="0.25">
      <c r="A40" s="54" t="s">
        <v>76</v>
      </c>
      <c r="B40" s="220">
        <f>M34</f>
        <v>5625</v>
      </c>
      <c r="C40" s="220">
        <f>N34</f>
        <v>6075</v>
      </c>
      <c r="D40" s="220">
        <f>O34</f>
        <v>4950</v>
      </c>
      <c r="E40" s="220">
        <f>P34</f>
        <v>5062.5</v>
      </c>
      <c r="F40" s="220">
        <f>Q34</f>
        <v>6412.5</v>
      </c>
      <c r="G40" s="220">
        <f>R34</f>
        <v>5940</v>
      </c>
      <c r="H40" s="223">
        <v>20</v>
      </c>
      <c r="I40" s="224">
        <v>10.4</v>
      </c>
      <c r="M40" s="204"/>
      <c r="N40" s="204"/>
      <c r="O40" s="204"/>
      <c r="P40" s="204"/>
      <c r="Q40" s="204"/>
      <c r="R40" s="204"/>
    </row>
    <row r="41" spans="1:18" ht="15.75" thickBot="1" x14ac:dyDescent="0.3">
      <c r="A41" s="54" t="s">
        <v>77</v>
      </c>
      <c r="B41" s="220">
        <f>M35</f>
        <v>2250</v>
      </c>
      <c r="C41" s="221">
        <f>N35</f>
        <v>2430</v>
      </c>
      <c r="D41" s="220">
        <f>O35</f>
        <v>1980</v>
      </c>
      <c r="E41" s="221">
        <f>P35</f>
        <v>2025</v>
      </c>
      <c r="F41" s="220">
        <f>Q35</f>
        <v>2565</v>
      </c>
      <c r="G41" s="221">
        <f>R35</f>
        <v>2376</v>
      </c>
      <c r="H41" s="225">
        <v>15</v>
      </c>
      <c r="I41" s="224">
        <v>7.8</v>
      </c>
    </row>
    <row r="42" spans="1:18" ht="15.75" thickBot="1" x14ac:dyDescent="0.3">
      <c r="A42" s="54" t="s">
        <v>78</v>
      </c>
      <c r="B42" s="220">
        <f>M36</f>
        <v>625</v>
      </c>
      <c r="C42" s="221">
        <f>N36</f>
        <v>675</v>
      </c>
      <c r="D42" s="220">
        <f>O36</f>
        <v>550</v>
      </c>
      <c r="E42" s="221">
        <f>P36</f>
        <v>562.5</v>
      </c>
      <c r="F42" s="220">
        <f>Q36</f>
        <v>712.5</v>
      </c>
      <c r="G42" s="221">
        <f>R36</f>
        <v>660</v>
      </c>
      <c r="H42" s="225">
        <v>21</v>
      </c>
      <c r="I42" s="224">
        <v>10.8</v>
      </c>
      <c r="L42" s="228" t="s">
        <v>138</v>
      </c>
      <c r="M42" s="229"/>
    </row>
    <row r="43" spans="1:18" ht="16.5" thickTop="1" thickBot="1" x14ac:dyDescent="0.3">
      <c r="A43" s="54" t="s">
        <v>79</v>
      </c>
      <c r="B43" s="220">
        <f>M37</f>
        <v>4000</v>
      </c>
      <c r="C43" s="221">
        <f>N37</f>
        <v>4320</v>
      </c>
      <c r="D43" s="220">
        <f>O37</f>
        <v>3520</v>
      </c>
      <c r="E43" s="221">
        <f>P37</f>
        <v>3600</v>
      </c>
      <c r="F43" s="220">
        <f>Q37</f>
        <v>4560</v>
      </c>
      <c r="G43" s="221">
        <f>R37</f>
        <v>4224</v>
      </c>
      <c r="H43" s="225">
        <v>24</v>
      </c>
      <c r="I43" s="224">
        <v>12.6</v>
      </c>
      <c r="L43" s="205" t="s">
        <v>76</v>
      </c>
      <c r="M43" s="215">
        <v>0.45</v>
      </c>
    </row>
    <row r="44" spans="1:18" ht="15" thickBot="1" x14ac:dyDescent="0.25">
      <c r="L44" s="206" t="s">
        <v>77</v>
      </c>
      <c r="M44" s="216">
        <v>0.18</v>
      </c>
    </row>
    <row r="45" spans="1:18" ht="15" thickBot="1" x14ac:dyDescent="0.25">
      <c r="L45" s="206" t="s">
        <v>78</v>
      </c>
      <c r="M45" s="216">
        <v>0.05</v>
      </c>
    </row>
    <row r="46" spans="1:18" ht="15" thickBot="1" x14ac:dyDescent="0.25">
      <c r="L46" s="206" t="s">
        <v>79</v>
      </c>
      <c r="M46" s="216">
        <v>0.32</v>
      </c>
    </row>
  </sheetData>
  <mergeCells count="3">
    <mergeCell ref="A1:I1"/>
    <mergeCell ref="L32:R32"/>
    <mergeCell ref="L42:M42"/>
  </mergeCells>
  <pageMargins left="0.7" right="0.7" top="0.75" bottom="0.75" header="0.3" footer="0.3"/>
  <ignoredErrors>
    <ignoredError sqref="C14" formula="1"/>
  </ignoredError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workbookViewId="0">
      <selection activeCell="P21" sqref="P21"/>
    </sheetView>
  </sheetViews>
  <sheetFormatPr defaultColWidth="10" defaultRowHeight="12.75" x14ac:dyDescent="0.2"/>
  <cols>
    <col min="1" max="1" width="22" style="3" customWidth="1"/>
    <col min="2" max="5" width="12" style="3" customWidth="1"/>
    <col min="6" max="12" width="10" style="3"/>
    <col min="13" max="13" width="23.42578125" style="3" bestFit="1" customWidth="1"/>
    <col min="14" max="14" width="21" style="3" customWidth="1"/>
    <col min="15" max="16384" width="10" style="3"/>
  </cols>
  <sheetData>
    <row r="1" spans="1:16" ht="15" thickBot="1" x14ac:dyDescent="0.25">
      <c r="M1" s="167" t="s">
        <v>154</v>
      </c>
      <c r="N1" s="167"/>
    </row>
    <row r="2" spans="1:16" ht="14.25" thickTop="1" thickBot="1" x14ac:dyDescent="0.25">
      <c r="A2" s="11" t="s">
        <v>61</v>
      </c>
      <c r="B2" s="12"/>
      <c r="M2" s="22" t="s">
        <v>38</v>
      </c>
      <c r="N2" s="23"/>
      <c r="P2" s="239" t="s">
        <v>155</v>
      </c>
    </row>
    <row r="3" spans="1:16" ht="13.5" thickTop="1" x14ac:dyDescent="0.2">
      <c r="M3" s="1" t="s">
        <v>32</v>
      </c>
      <c r="N3" s="25">
        <f>SUM(D30*349)</f>
        <v>6980</v>
      </c>
      <c r="P3" s="21">
        <v>349</v>
      </c>
    </row>
    <row r="4" spans="1:16" x14ac:dyDescent="0.2">
      <c r="A4" s="3" t="s">
        <v>0</v>
      </c>
      <c r="M4" s="1" t="s">
        <v>50</v>
      </c>
      <c r="N4" s="25">
        <f>SUM(D31*140)</f>
        <v>2100</v>
      </c>
      <c r="P4" s="21">
        <v>140</v>
      </c>
    </row>
    <row r="5" spans="1:16" x14ac:dyDescent="0.2">
      <c r="M5" s="1" t="s">
        <v>62</v>
      </c>
      <c r="N5" s="25">
        <f>SUM(D32*39)</f>
        <v>819</v>
      </c>
      <c r="P5" s="21">
        <v>39</v>
      </c>
    </row>
    <row r="6" spans="1:16" ht="13.5" thickBot="1" x14ac:dyDescent="0.25">
      <c r="A6" s="5" t="s">
        <v>47</v>
      </c>
      <c r="B6" s="5"/>
      <c r="C6" s="5"/>
      <c r="D6" s="6"/>
      <c r="M6" s="1" t="s">
        <v>63</v>
      </c>
      <c r="N6" s="26">
        <f>SUM(D33*248)</f>
        <v>5952</v>
      </c>
      <c r="P6" s="21">
        <v>248</v>
      </c>
    </row>
    <row r="7" spans="1:16" ht="13.5" thickTop="1" x14ac:dyDescent="0.2">
      <c r="A7" s="1" t="s">
        <v>1</v>
      </c>
      <c r="B7" s="1">
        <v>0</v>
      </c>
      <c r="M7" s="22" t="s">
        <v>39</v>
      </c>
      <c r="N7" s="25">
        <f>SUM(N3:N6)</f>
        <v>15851</v>
      </c>
    </row>
    <row r="8" spans="1:16" x14ac:dyDescent="0.2">
      <c r="A8" s="1" t="s">
        <v>2</v>
      </c>
      <c r="B8" s="1">
        <v>0</v>
      </c>
      <c r="M8" s="22"/>
      <c r="N8" s="23"/>
      <c r="P8" s="124"/>
    </row>
    <row r="9" spans="1:16" x14ac:dyDescent="0.2">
      <c r="A9" s="1" t="s">
        <v>3</v>
      </c>
      <c r="B9" s="1">
        <v>100</v>
      </c>
      <c r="M9" s="22" t="s">
        <v>40</v>
      </c>
      <c r="N9" s="23"/>
    </row>
    <row r="10" spans="1:16" x14ac:dyDescent="0.2">
      <c r="A10" s="1" t="s">
        <v>4</v>
      </c>
      <c r="B10" s="1">
        <v>0</v>
      </c>
      <c r="M10" s="1" t="s">
        <v>32</v>
      </c>
      <c r="N10" s="25">
        <f>SUM(E30*349)</f>
        <v>3629.6</v>
      </c>
    </row>
    <row r="11" spans="1:16" x14ac:dyDescent="0.2">
      <c r="A11" s="1" t="s">
        <v>37</v>
      </c>
      <c r="B11" s="1">
        <v>60</v>
      </c>
      <c r="M11" s="1" t="s">
        <v>33</v>
      </c>
      <c r="N11" s="25">
        <f>SUM(E31*140)</f>
        <v>1092</v>
      </c>
    </row>
    <row r="12" spans="1:16" x14ac:dyDescent="0.2">
      <c r="A12" s="1" t="s">
        <v>36</v>
      </c>
      <c r="B12" s="1">
        <v>175</v>
      </c>
      <c r="M12" s="1" t="s">
        <v>34</v>
      </c>
      <c r="N12" s="25">
        <f>SUM(D32*39)</f>
        <v>819</v>
      </c>
    </row>
    <row r="13" spans="1:16" ht="13.5" thickBot="1" x14ac:dyDescent="0.25">
      <c r="A13" s="1" t="s">
        <v>5</v>
      </c>
      <c r="B13" s="1">
        <v>0</v>
      </c>
      <c r="M13" s="1" t="s">
        <v>35</v>
      </c>
      <c r="N13" s="26">
        <f>SUM(E33*248)</f>
        <v>3124.8</v>
      </c>
    </row>
    <row r="14" spans="1:16" ht="13.5" thickTop="1" x14ac:dyDescent="0.2">
      <c r="A14" s="1" t="s">
        <v>6</v>
      </c>
      <c r="B14" s="1">
        <v>1000</v>
      </c>
      <c r="M14" s="22" t="s">
        <v>41</v>
      </c>
      <c r="N14" s="240">
        <f>SUM(N10:N13)</f>
        <v>8665.4000000000015</v>
      </c>
    </row>
    <row r="15" spans="1:16" x14ac:dyDescent="0.2">
      <c r="A15" s="1" t="s">
        <v>7</v>
      </c>
      <c r="B15" s="1">
        <v>50</v>
      </c>
      <c r="M15" s="22"/>
      <c r="N15" s="23"/>
    </row>
    <row r="16" spans="1:16" x14ac:dyDescent="0.2">
      <c r="A16" s="1" t="s">
        <v>8</v>
      </c>
      <c r="B16" s="1">
        <v>0</v>
      </c>
      <c r="M16" s="22" t="s">
        <v>42</v>
      </c>
      <c r="N16" s="27">
        <f>N7-N14</f>
        <v>7185.5999999999985</v>
      </c>
    </row>
    <row r="17" spans="1:14" x14ac:dyDescent="0.2">
      <c r="A17" s="1" t="s">
        <v>9</v>
      </c>
      <c r="B17" s="1">
        <v>85</v>
      </c>
      <c r="M17" s="22"/>
      <c r="N17" s="23"/>
    </row>
    <row r="18" spans="1:14" x14ac:dyDescent="0.2">
      <c r="A18" s="1" t="s">
        <v>10</v>
      </c>
      <c r="B18" s="1">
        <v>0</v>
      </c>
      <c r="M18" s="22" t="s">
        <v>43</v>
      </c>
      <c r="N18" s="23"/>
    </row>
    <row r="19" spans="1:14" x14ac:dyDescent="0.2">
      <c r="A19" s="3" t="s">
        <v>11</v>
      </c>
      <c r="B19" s="13">
        <f>SUM(B7:B18)</f>
        <v>1470</v>
      </c>
      <c r="M19" s="23" t="s">
        <v>1</v>
      </c>
      <c r="N19" s="25">
        <v>0</v>
      </c>
    </row>
    <row r="20" spans="1:14" x14ac:dyDescent="0.2">
      <c r="B20" s="14"/>
      <c r="C20" s="14"/>
      <c r="D20" s="14"/>
      <c r="M20" s="23" t="s">
        <v>2</v>
      </c>
      <c r="N20" s="25">
        <v>0</v>
      </c>
    </row>
    <row r="21" spans="1:14" ht="25.5" x14ac:dyDescent="0.2">
      <c r="B21" s="20" t="s">
        <v>64</v>
      </c>
      <c r="C21" s="20" t="s">
        <v>66</v>
      </c>
      <c r="D21" s="20" t="s">
        <v>65</v>
      </c>
      <c r="E21" s="40" t="s">
        <v>117</v>
      </c>
      <c r="M21" s="23" t="s">
        <v>3</v>
      </c>
      <c r="N21" s="25">
        <v>100</v>
      </c>
    </row>
    <row r="22" spans="1:14" x14ac:dyDescent="0.2">
      <c r="A22" s="1" t="s">
        <v>50</v>
      </c>
      <c r="B22" s="3">
        <v>1.25</v>
      </c>
      <c r="C22" s="3">
        <v>0.65</v>
      </c>
      <c r="D22" s="3">
        <f>($B$22-$C$22)</f>
        <v>0.6</v>
      </c>
      <c r="E22" s="3">
        <v>0.05</v>
      </c>
      <c r="M22" s="23" t="s">
        <v>4</v>
      </c>
      <c r="N22" s="25">
        <v>0</v>
      </c>
    </row>
    <row r="23" spans="1:14" x14ac:dyDescent="0.2">
      <c r="A23" s="1" t="s">
        <v>62</v>
      </c>
      <c r="B23" s="3">
        <v>1.75</v>
      </c>
      <c r="C23" s="3">
        <v>0.9</v>
      </c>
      <c r="D23" s="3">
        <f>($B$23-$C$23)</f>
        <v>0.85</v>
      </c>
      <c r="E23" s="3">
        <v>0.15</v>
      </c>
      <c r="M23" s="23" t="s">
        <v>37</v>
      </c>
      <c r="N23" s="25">
        <v>60</v>
      </c>
    </row>
    <row r="24" spans="1:14" x14ac:dyDescent="0.2">
      <c r="A24" s="1" t="s">
        <v>63</v>
      </c>
      <c r="B24" s="3">
        <v>2</v>
      </c>
      <c r="C24" s="3">
        <v>1.05</v>
      </c>
      <c r="D24" s="3">
        <f>($B$24-$C$24)</f>
        <v>0.95</v>
      </c>
      <c r="E24" s="3">
        <v>0.2</v>
      </c>
      <c r="M24" s="23" t="s">
        <v>36</v>
      </c>
      <c r="N24" s="25">
        <v>175</v>
      </c>
    </row>
    <row r="25" spans="1:14" x14ac:dyDescent="0.2">
      <c r="M25" s="23" t="s">
        <v>5</v>
      </c>
      <c r="N25" s="25">
        <v>0</v>
      </c>
    </row>
    <row r="26" spans="1:14" x14ac:dyDescent="0.2">
      <c r="M26" s="23" t="s">
        <v>6</v>
      </c>
      <c r="N26" s="25">
        <v>1000</v>
      </c>
    </row>
    <row r="27" spans="1:14" x14ac:dyDescent="0.2">
      <c r="A27" s="5"/>
      <c r="B27" s="5"/>
      <c r="C27" s="5"/>
      <c r="D27" s="5"/>
      <c r="E27" s="5"/>
      <c r="F27" s="6"/>
      <c r="M27" s="23" t="s">
        <v>7</v>
      </c>
      <c r="N27" s="25">
        <v>50</v>
      </c>
    </row>
    <row r="28" spans="1:14" x14ac:dyDescent="0.2">
      <c r="B28" s="14" t="s">
        <v>12</v>
      </c>
      <c r="C28" s="165" t="s">
        <v>71</v>
      </c>
      <c r="D28" s="14" t="s">
        <v>13</v>
      </c>
      <c r="E28" s="14"/>
      <c r="F28" s="14"/>
      <c r="G28" s="14" t="s">
        <v>14</v>
      </c>
      <c r="H28" s="14" t="s">
        <v>15</v>
      </c>
      <c r="M28" s="23" t="s">
        <v>8</v>
      </c>
      <c r="N28" s="25">
        <v>0</v>
      </c>
    </row>
    <row r="29" spans="1:14" ht="13.5" thickBot="1" x14ac:dyDescent="0.25">
      <c r="A29" s="9" t="s">
        <v>16</v>
      </c>
      <c r="B29" s="15" t="s">
        <v>13</v>
      </c>
      <c r="C29" s="166"/>
      <c r="D29" s="15" t="s">
        <v>17</v>
      </c>
      <c r="E29" s="15" t="s">
        <v>18</v>
      </c>
      <c r="F29" s="15" t="s">
        <v>19</v>
      </c>
      <c r="G29" s="15" t="s">
        <v>20</v>
      </c>
      <c r="H29" s="15" t="s">
        <v>21</v>
      </c>
      <c r="M29" s="23" t="s">
        <v>9</v>
      </c>
      <c r="N29" s="25">
        <v>85</v>
      </c>
    </row>
    <row r="30" spans="1:14" ht="14.25" thickTop="1" thickBot="1" x14ac:dyDescent="0.25">
      <c r="A30" s="1" t="s">
        <v>70</v>
      </c>
      <c r="B30" s="8">
        <v>0.45</v>
      </c>
      <c r="C30" s="38" t="s">
        <v>72</v>
      </c>
      <c r="D30" s="3">
        <f>SUM(4*$B$22)+(4*$B$23)+(4*$B$24)</f>
        <v>20</v>
      </c>
      <c r="E30" s="1">
        <f>SUM(4*C22)+(4*C23)+(4*C24)</f>
        <v>10.4</v>
      </c>
      <c r="F30" s="3">
        <f>$D$30-$E$30</f>
        <v>9.6</v>
      </c>
      <c r="G30" s="17">
        <f>IF(D30&lt;&gt;0,F30/D30,0)</f>
        <v>0.48</v>
      </c>
      <c r="H30" s="17">
        <f>$G$30*$B$30</f>
        <v>0.216</v>
      </c>
      <c r="M30" s="23" t="s">
        <v>10</v>
      </c>
      <c r="N30" s="26">
        <v>0</v>
      </c>
    </row>
    <row r="31" spans="1:14" ht="13.5" thickTop="1" x14ac:dyDescent="0.2">
      <c r="A31" s="1" t="s">
        <v>67</v>
      </c>
      <c r="B31" s="8">
        <v>0.18</v>
      </c>
      <c r="C31" s="37">
        <v>12</v>
      </c>
      <c r="D31" s="3">
        <f>SUM($C$31*$B$22)</f>
        <v>15</v>
      </c>
      <c r="E31" s="3">
        <f>SUM($C$31*$C$22)</f>
        <v>7.8000000000000007</v>
      </c>
      <c r="F31" s="3">
        <f>$D$31-$E$31</f>
        <v>7.1999999999999993</v>
      </c>
      <c r="G31" s="17">
        <f>IF(D31&lt;&gt;0,F31/D31,0)</f>
        <v>0.47999999999999993</v>
      </c>
      <c r="H31" s="17">
        <f>$G$31*$B$31</f>
        <v>8.6399999999999977E-2</v>
      </c>
      <c r="M31" s="22" t="s">
        <v>44</v>
      </c>
      <c r="N31" s="25">
        <f>SUM(N19:N30)</f>
        <v>1470</v>
      </c>
    </row>
    <row r="32" spans="1:14" x14ac:dyDescent="0.2">
      <c r="A32" s="1" t="s">
        <v>68</v>
      </c>
      <c r="B32" s="8">
        <v>0.05</v>
      </c>
      <c r="C32" s="37">
        <v>12</v>
      </c>
      <c r="D32" s="3">
        <f>SUM($C$32*$B$23)</f>
        <v>21</v>
      </c>
      <c r="E32" s="3">
        <f>SUM($C$32*$C$23)</f>
        <v>10.8</v>
      </c>
      <c r="F32" s="3">
        <f>$D$32-$E$32</f>
        <v>10.199999999999999</v>
      </c>
      <c r="G32" s="17">
        <f>IF(D32&lt;&gt;0,F32/D32,0)</f>
        <v>0.48571428571428565</v>
      </c>
      <c r="H32" s="17">
        <f>$G$32*$B$32</f>
        <v>2.4285714285714285E-2</v>
      </c>
      <c r="M32" s="22"/>
      <c r="N32" s="23"/>
    </row>
    <row r="33" spans="1:14" x14ac:dyDescent="0.2">
      <c r="A33" s="1" t="s">
        <v>69</v>
      </c>
      <c r="B33" s="8">
        <v>0.32</v>
      </c>
      <c r="C33" s="37">
        <v>12</v>
      </c>
      <c r="D33" s="3">
        <f>SUM($C$33*$B$24)</f>
        <v>24</v>
      </c>
      <c r="E33" s="3">
        <f>SUM($C$33*$C$24)</f>
        <v>12.600000000000001</v>
      </c>
      <c r="F33" s="3">
        <f>$D$33-$E$33</f>
        <v>11.399999999999999</v>
      </c>
      <c r="G33" s="17">
        <f>IF(D33&lt;&gt;0,F33/D33,0)</f>
        <v>0.47499999999999992</v>
      </c>
      <c r="H33" s="39">
        <f>$G$33*$B$33</f>
        <v>0.15199999999999997</v>
      </c>
      <c r="M33" s="22" t="s">
        <v>45</v>
      </c>
      <c r="N33" s="23"/>
    </row>
    <row r="34" spans="1:14" ht="13.5" thickBot="1" x14ac:dyDescent="0.25">
      <c r="B34" s="10"/>
      <c r="C34" s="7"/>
      <c r="G34" s="9"/>
      <c r="H34" s="9"/>
      <c r="M34" s="22" t="s">
        <v>46</v>
      </c>
      <c r="N34" s="27">
        <f>SUM(N16-N31)</f>
        <v>5715.5999999999985</v>
      </c>
    </row>
    <row r="35" spans="1:14" ht="13.5" thickTop="1" x14ac:dyDescent="0.2">
      <c r="A35" s="3" t="s">
        <v>22</v>
      </c>
      <c r="B35" s="7">
        <f>SUM(B30:B33)</f>
        <v>1</v>
      </c>
      <c r="D35" s="11" t="s">
        <v>23</v>
      </c>
      <c r="E35" s="11"/>
      <c r="F35" s="2" t="s">
        <v>24</v>
      </c>
      <c r="G35" s="17">
        <f>SUM(H30:H33)</f>
        <v>0.47868571428571427</v>
      </c>
      <c r="M35" s="22"/>
      <c r="N35" s="23"/>
    </row>
    <row r="36" spans="1:14" x14ac:dyDescent="0.2">
      <c r="A36" s="17" t="s">
        <v>24</v>
      </c>
      <c r="D36" s="3" t="s">
        <v>24</v>
      </c>
      <c r="G36" s="2" t="s">
        <v>24</v>
      </c>
      <c r="M36" s="22"/>
      <c r="N36" s="24"/>
    </row>
    <row r="37" spans="1:14" x14ac:dyDescent="0.2">
      <c r="M37" s="22"/>
      <c r="N37" s="24"/>
    </row>
    <row r="38" spans="1:14" x14ac:dyDescent="0.2">
      <c r="B38" s="3" t="s">
        <v>11</v>
      </c>
      <c r="D38" s="2">
        <f>$B$19</f>
        <v>1470</v>
      </c>
      <c r="M38" s="22"/>
      <c r="N38" s="24"/>
    </row>
    <row r="39" spans="1:14" x14ac:dyDescent="0.2">
      <c r="A39" s="4" t="s">
        <v>25</v>
      </c>
      <c r="B39" s="3" t="s">
        <v>26</v>
      </c>
      <c r="D39" s="19">
        <f>$G$35</f>
        <v>0.47868571428571427</v>
      </c>
    </row>
    <row r="40" spans="1:14" x14ac:dyDescent="0.2">
      <c r="B40" s="3" t="s">
        <v>27</v>
      </c>
      <c r="D40" s="2">
        <f>IF($D$39&lt;&gt;0,SUM($B$19/$D$39),0)</f>
        <v>3070.908439775576</v>
      </c>
    </row>
    <row r="42" spans="1:14" x14ac:dyDescent="0.2">
      <c r="A42" s="3" t="s">
        <v>28</v>
      </c>
      <c r="B42" s="16">
        <v>20</v>
      </c>
    </row>
    <row r="43" spans="1:14" ht="26.25" thickBot="1" x14ac:dyDescent="0.25">
      <c r="A43" s="3" t="s">
        <v>29</v>
      </c>
      <c r="B43" s="118"/>
      <c r="C43" s="119" t="s">
        <v>32</v>
      </c>
      <c r="D43" s="119" t="s">
        <v>50</v>
      </c>
      <c r="E43" s="119" t="s">
        <v>62</v>
      </c>
      <c r="F43" s="119" t="s">
        <v>63</v>
      </c>
      <c r="G43" s="4"/>
    </row>
    <row r="44" spans="1:14" ht="13.5" thickTop="1" x14ac:dyDescent="0.2">
      <c r="A44" s="3" t="s">
        <v>30</v>
      </c>
      <c r="B44" s="2">
        <f>D40</f>
        <v>3070.908439775576</v>
      </c>
      <c r="C44" s="18">
        <f>B44*B30</f>
        <v>1381.9087978990092</v>
      </c>
      <c r="D44" s="18">
        <f>B44*B31</f>
        <v>552.76351915960367</v>
      </c>
      <c r="E44" s="18">
        <f>B44*B32</f>
        <v>153.5454219887788</v>
      </c>
      <c r="F44" s="18">
        <f>B44*B33</f>
        <v>982.69070072818431</v>
      </c>
      <c r="G44" s="18"/>
    </row>
    <row r="45" spans="1:14" x14ac:dyDescent="0.2">
      <c r="A45" s="3" t="s">
        <v>31</v>
      </c>
      <c r="C45" s="21">
        <f>SUM(C44/D30)</f>
        <v>69.095439894950459</v>
      </c>
      <c r="D45" s="21">
        <f>IF($D$31&lt;&gt;0,($B44*$B$31)/$D$31,NA())</f>
        <v>36.85090127730691</v>
      </c>
      <c r="E45" s="21">
        <f>IF($D$32&lt;&gt;0,($B44*$B$32)/$D$32,NA())</f>
        <v>7.3116867613704191</v>
      </c>
      <c r="F45" s="21">
        <f>IF($D$33&lt;&gt;0,($B44*$B$33)/$D$33,NA())</f>
        <v>40.945445863674344</v>
      </c>
      <c r="G45" s="4"/>
    </row>
    <row r="48" spans="1:14" x14ac:dyDescent="0.2">
      <c r="N48" s="14"/>
    </row>
  </sheetData>
  <mergeCells count="2">
    <mergeCell ref="C28:C29"/>
    <mergeCell ref="M1:N1"/>
  </mergeCells>
  <phoneticPr fontId="0" type="noConversion"/>
  <printOptions gridLines="1" gridLinesSet="0"/>
  <pageMargins left="0.5" right="0.5" top="0.25" bottom="0.25"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47"/>
  <sheetViews>
    <sheetView topLeftCell="A10" workbookViewId="0">
      <selection activeCell="N46" sqref="N46"/>
    </sheetView>
  </sheetViews>
  <sheetFormatPr defaultRowHeight="14.25" x14ac:dyDescent="0.2"/>
  <cols>
    <col min="1" max="1" width="23.42578125" style="89" bestFit="1" customWidth="1"/>
    <col min="2" max="2" width="12.7109375" style="89" bestFit="1" customWidth="1"/>
    <col min="4" max="4" width="12.7109375" bestFit="1" customWidth="1"/>
    <col min="6" max="6" width="10.85546875" bestFit="1" customWidth="1"/>
    <col min="7" max="7" width="13.5703125" customWidth="1"/>
    <col min="8" max="8" width="10.5703125" bestFit="1" customWidth="1"/>
  </cols>
  <sheetData>
    <row r="9" spans="1:8" ht="15.75" thickBot="1" x14ac:dyDescent="0.3">
      <c r="A9" s="167" t="s">
        <v>153</v>
      </c>
      <c r="B9" s="167"/>
      <c r="G9" s="236"/>
      <c r="H9" s="237"/>
    </row>
    <row r="10" spans="1:8" ht="15.75" thickTop="1" x14ac:dyDescent="0.25">
      <c r="A10" s="44" t="s">
        <v>43</v>
      </c>
      <c r="B10" s="156"/>
      <c r="G10" s="54"/>
      <c r="H10" s="158"/>
    </row>
    <row r="11" spans="1:8" x14ac:dyDescent="0.2">
      <c r="A11" s="45" t="s">
        <v>1</v>
      </c>
      <c r="B11" s="156">
        <v>1500</v>
      </c>
      <c r="G11" s="54"/>
      <c r="H11" s="158"/>
    </row>
    <row r="12" spans="1:8" x14ac:dyDescent="0.2">
      <c r="A12" s="45" t="s">
        <v>2</v>
      </c>
      <c r="B12" s="156">
        <v>450</v>
      </c>
      <c r="G12" s="54"/>
      <c r="H12" s="158"/>
    </row>
    <row r="13" spans="1:8" x14ac:dyDescent="0.2">
      <c r="A13" s="45" t="s">
        <v>3</v>
      </c>
      <c r="B13" s="156">
        <v>125</v>
      </c>
      <c r="G13" s="54"/>
      <c r="H13" s="158"/>
    </row>
    <row r="14" spans="1:8" ht="15" x14ac:dyDescent="0.25">
      <c r="A14" s="45" t="s">
        <v>4</v>
      </c>
      <c r="B14" s="156">
        <v>150</v>
      </c>
      <c r="G14" s="236"/>
      <c r="H14" s="158"/>
    </row>
    <row r="15" spans="1:8" ht="15" x14ac:dyDescent="0.25">
      <c r="A15" s="45" t="s">
        <v>37</v>
      </c>
      <c r="B15" s="156">
        <v>125</v>
      </c>
      <c r="G15" s="236"/>
      <c r="H15" s="158"/>
    </row>
    <row r="16" spans="1:8" ht="15" x14ac:dyDescent="0.25">
      <c r="A16" s="45" t="s">
        <v>152</v>
      </c>
      <c r="B16" s="156">
        <v>1000</v>
      </c>
      <c r="G16" s="236"/>
      <c r="H16" s="158"/>
    </row>
    <row r="17" spans="1:9" x14ac:dyDescent="0.2">
      <c r="A17" s="45" t="s">
        <v>36</v>
      </c>
      <c r="B17" s="156">
        <v>175</v>
      </c>
      <c r="G17" s="54"/>
      <c r="H17" s="158"/>
    </row>
    <row r="18" spans="1:9" x14ac:dyDescent="0.2">
      <c r="A18" s="45" t="s">
        <v>5</v>
      </c>
      <c r="B18" s="156">
        <v>5400</v>
      </c>
      <c r="G18" s="54"/>
      <c r="H18" s="158"/>
    </row>
    <row r="19" spans="1:9" x14ac:dyDescent="0.2">
      <c r="A19" s="45" t="s">
        <v>6</v>
      </c>
      <c r="B19" s="156">
        <v>1500</v>
      </c>
      <c r="G19" s="54"/>
      <c r="H19" s="158"/>
    </row>
    <row r="20" spans="1:9" x14ac:dyDescent="0.2">
      <c r="A20" s="45" t="s">
        <v>151</v>
      </c>
      <c r="B20" s="156">
        <v>150</v>
      </c>
      <c r="G20" s="54"/>
      <c r="H20" s="158"/>
    </row>
    <row r="21" spans="1:9" x14ac:dyDescent="0.2">
      <c r="A21" s="45" t="s">
        <v>8</v>
      </c>
      <c r="B21" s="156">
        <v>475</v>
      </c>
      <c r="G21" s="237"/>
      <c r="H21" s="158"/>
    </row>
    <row r="22" spans="1:9" ht="15" x14ac:dyDescent="0.25">
      <c r="A22" s="45" t="s">
        <v>9</v>
      </c>
      <c r="B22" s="156">
        <v>115</v>
      </c>
      <c r="G22" s="236"/>
      <c r="H22" s="158"/>
    </row>
    <row r="23" spans="1:9" ht="15.75" thickBot="1" x14ac:dyDescent="0.3">
      <c r="A23" s="45" t="s">
        <v>10</v>
      </c>
      <c r="B23" s="157">
        <v>475</v>
      </c>
      <c r="G23" s="236"/>
      <c r="H23" s="238"/>
    </row>
    <row r="24" spans="1:9" ht="15.75" thickTop="1" x14ac:dyDescent="0.25">
      <c r="A24" s="44" t="s">
        <v>44</v>
      </c>
      <c r="B24" s="156">
        <f>SUM(B11:B23)</f>
        <v>11640</v>
      </c>
    </row>
    <row r="25" spans="1:9" ht="15" x14ac:dyDescent="0.25">
      <c r="A25" s="44"/>
      <c r="B25" s="156"/>
    </row>
    <row r="26" spans="1:9" ht="15" x14ac:dyDescent="0.25">
      <c r="A26" s="44"/>
      <c r="B26" s="156"/>
    </row>
    <row r="27" spans="1:9" ht="38.25" x14ac:dyDescent="0.2">
      <c r="A27" s="50"/>
      <c r="B27" s="104" t="s">
        <v>64</v>
      </c>
      <c r="C27" s="83" t="s">
        <v>66</v>
      </c>
      <c r="D27" s="83" t="s">
        <v>65</v>
      </c>
      <c r="E27" s="40"/>
      <c r="F27" s="3"/>
      <c r="G27" s="3"/>
      <c r="H27" s="3"/>
      <c r="I27" s="3"/>
    </row>
    <row r="28" spans="1:9" x14ac:dyDescent="0.2">
      <c r="A28" s="54" t="s">
        <v>50</v>
      </c>
      <c r="B28" s="50">
        <v>1.25</v>
      </c>
      <c r="C28" s="50">
        <v>0.65</v>
      </c>
      <c r="D28" s="50">
        <f>SUM(B28)</f>
        <v>1.25</v>
      </c>
      <c r="E28" s="3"/>
      <c r="F28" s="3"/>
      <c r="G28" s="3"/>
      <c r="H28" s="3"/>
      <c r="I28" s="3"/>
    </row>
    <row r="29" spans="1:9" x14ac:dyDescent="0.2">
      <c r="A29" s="54" t="s">
        <v>62</v>
      </c>
      <c r="B29" s="50">
        <v>1.75</v>
      </c>
      <c r="C29" s="50">
        <v>0.9</v>
      </c>
      <c r="D29" s="50">
        <f>B29-C29</f>
        <v>0.85</v>
      </c>
      <c r="E29" s="3"/>
      <c r="F29" s="3"/>
      <c r="G29" s="3"/>
      <c r="H29" s="3"/>
      <c r="I29" s="3"/>
    </row>
    <row r="30" spans="1:9" x14ac:dyDescent="0.2">
      <c r="A30" s="54" t="s">
        <v>63</v>
      </c>
      <c r="B30" s="50">
        <v>2</v>
      </c>
      <c r="C30" s="50">
        <v>1.05</v>
      </c>
      <c r="D30" s="50">
        <f>B30-C30</f>
        <v>0.95</v>
      </c>
      <c r="E30" s="3"/>
      <c r="F30" s="3"/>
      <c r="G30" s="3"/>
      <c r="H30" s="3"/>
      <c r="I30" s="3"/>
    </row>
    <row r="31" spans="1:9" ht="15" x14ac:dyDescent="0.25">
      <c r="A31" s="95"/>
      <c r="B31" s="95"/>
      <c r="C31" s="5"/>
      <c r="D31" s="5"/>
      <c r="E31" s="5"/>
      <c r="F31" s="6"/>
      <c r="G31" s="3"/>
      <c r="H31" s="3"/>
      <c r="I31" s="3"/>
    </row>
    <row r="32" spans="1:9" x14ac:dyDescent="0.2">
      <c r="A32" s="50"/>
      <c r="B32" s="108" t="s">
        <v>12</v>
      </c>
      <c r="C32" s="165" t="s">
        <v>71</v>
      </c>
      <c r="D32" s="14" t="s">
        <v>13</v>
      </c>
      <c r="E32" s="14"/>
      <c r="F32" s="14"/>
      <c r="G32" s="14" t="s">
        <v>14</v>
      </c>
      <c r="H32" s="14" t="s">
        <v>15</v>
      </c>
      <c r="I32" s="3"/>
    </row>
    <row r="33" spans="1:9" ht="15" thickBot="1" x14ac:dyDescent="0.25">
      <c r="A33" s="53" t="s">
        <v>16</v>
      </c>
      <c r="B33" s="97" t="s">
        <v>13</v>
      </c>
      <c r="C33" s="166"/>
      <c r="D33" s="15" t="s">
        <v>17</v>
      </c>
      <c r="E33" s="15" t="s">
        <v>18</v>
      </c>
      <c r="F33" s="15" t="s">
        <v>19</v>
      </c>
      <c r="G33" s="15" t="s">
        <v>20</v>
      </c>
      <c r="H33" s="15" t="s">
        <v>21</v>
      </c>
      <c r="I33" s="3"/>
    </row>
    <row r="34" spans="1:9" ht="15" thickTop="1" x14ac:dyDescent="0.2">
      <c r="A34" s="54" t="s">
        <v>70</v>
      </c>
      <c r="B34" s="98">
        <v>0.45</v>
      </c>
      <c r="C34" s="99" t="s">
        <v>72</v>
      </c>
      <c r="D34" s="50">
        <f>SUM(4*B28)+(4*B29)+(4*B30)</f>
        <v>20</v>
      </c>
      <c r="E34" s="50">
        <f>SUM(4*C28)+(C29*4)+(4*C30)</f>
        <v>10.4</v>
      </c>
      <c r="F34" s="50">
        <f>D34-E34</f>
        <v>9.6</v>
      </c>
      <c r="G34" s="235">
        <f>IF(D34&lt;&gt;0,F34/D34,0)</f>
        <v>0.48</v>
      </c>
      <c r="H34" s="188">
        <f>SUM(G34*B34)</f>
        <v>0.216</v>
      </c>
      <c r="I34" s="3"/>
    </row>
    <row r="35" spans="1:9" x14ac:dyDescent="0.2">
      <c r="A35" s="54" t="s">
        <v>67</v>
      </c>
      <c r="B35" s="98">
        <v>0.18</v>
      </c>
      <c r="C35" s="100">
        <v>12</v>
      </c>
      <c r="D35" s="50">
        <f>SUM(C35*B28)</f>
        <v>15</v>
      </c>
      <c r="E35" s="50">
        <f>SUM(12*C28)</f>
        <v>7.8000000000000007</v>
      </c>
      <c r="F35" s="50">
        <f t="shared" ref="F35:F37" si="0">D35-E35</f>
        <v>7.1999999999999993</v>
      </c>
      <c r="G35" s="235">
        <f>IF(D35&lt;&gt;0,F35/D35,0)</f>
        <v>0.47999999999999993</v>
      </c>
      <c r="H35" s="188">
        <f t="shared" ref="H35:H37" si="1">SUM(G35*B35)</f>
        <v>8.6399999999999977E-2</v>
      </c>
      <c r="I35" s="3"/>
    </row>
    <row r="36" spans="1:9" x14ac:dyDescent="0.2">
      <c r="A36" s="54" t="s">
        <v>68</v>
      </c>
      <c r="B36" s="98">
        <v>0.05</v>
      </c>
      <c r="C36" s="100">
        <v>12</v>
      </c>
      <c r="D36" s="50">
        <f>SUM(C36*B29)</f>
        <v>21</v>
      </c>
      <c r="E36" s="50">
        <f>SUM(12*C29)</f>
        <v>10.8</v>
      </c>
      <c r="F36" s="50">
        <f t="shared" si="0"/>
        <v>10.199999999999999</v>
      </c>
      <c r="G36" s="235">
        <f>IF(D36&lt;&gt;0,F36/D36,0)</f>
        <v>0.48571428571428565</v>
      </c>
      <c r="H36" s="188">
        <f t="shared" si="1"/>
        <v>2.4285714285714285E-2</v>
      </c>
      <c r="I36" s="3"/>
    </row>
    <row r="37" spans="1:9" x14ac:dyDescent="0.2">
      <c r="A37" s="54" t="s">
        <v>69</v>
      </c>
      <c r="B37" s="98">
        <v>0.32</v>
      </c>
      <c r="C37" s="100">
        <v>12</v>
      </c>
      <c r="D37" s="50">
        <f>SUM(B30*C37)</f>
        <v>24</v>
      </c>
      <c r="E37" s="50">
        <f>SUM(12*C30)</f>
        <v>12.600000000000001</v>
      </c>
      <c r="F37" s="50">
        <f t="shared" si="0"/>
        <v>11.399999999999999</v>
      </c>
      <c r="G37" s="235">
        <f>IF(D37&lt;&gt;0,F37/D37,0)</f>
        <v>0.47499999999999992</v>
      </c>
      <c r="H37" s="188">
        <f t="shared" si="1"/>
        <v>0.15199999999999997</v>
      </c>
      <c r="I37" s="3"/>
    </row>
    <row r="38" spans="1:9" ht="15" thickBot="1" x14ac:dyDescent="0.25">
      <c r="A38" s="54"/>
      <c r="B38" s="98"/>
      <c r="C38" s="100"/>
      <c r="D38" s="50"/>
      <c r="E38" s="50"/>
      <c r="F38" s="50"/>
      <c r="G38" s="187"/>
      <c r="H38" s="101"/>
      <c r="I38" s="3"/>
    </row>
    <row r="39" spans="1:9" ht="15" x14ac:dyDescent="0.25">
      <c r="A39" s="50" t="s">
        <v>22</v>
      </c>
      <c r="B39" s="103">
        <f>SUM(B34:B37)</f>
        <v>1</v>
      </c>
      <c r="C39" s="50"/>
      <c r="D39" s="234" t="s">
        <v>23</v>
      </c>
      <c r="E39" s="234"/>
      <c r="F39" s="234"/>
      <c r="G39" s="88">
        <f>SUM(H34:H37)</f>
        <v>0.47868571428571427</v>
      </c>
      <c r="H39" s="3"/>
      <c r="I39" s="3"/>
    </row>
    <row r="40" spans="1:9" x14ac:dyDescent="0.2">
      <c r="A40" s="88" t="s">
        <v>24</v>
      </c>
      <c r="B40" s="50"/>
      <c r="C40" s="3"/>
      <c r="D40" s="3" t="s">
        <v>24</v>
      </c>
      <c r="E40" s="3"/>
      <c r="F40" s="3"/>
      <c r="G40" s="2" t="s">
        <v>24</v>
      </c>
      <c r="H40" s="3"/>
      <c r="I40" s="3"/>
    </row>
    <row r="41" spans="1:9" x14ac:dyDescent="0.2">
      <c r="A41" s="50"/>
      <c r="B41" s="50" t="s">
        <v>11</v>
      </c>
      <c r="C41" s="50"/>
      <c r="D41" s="144">
        <f>B24</f>
        <v>11640</v>
      </c>
      <c r="E41" s="3"/>
      <c r="F41" s="3"/>
      <c r="G41" s="3"/>
      <c r="H41" s="3"/>
      <c r="I41" s="3"/>
    </row>
    <row r="42" spans="1:9" x14ac:dyDescent="0.2">
      <c r="A42" s="93" t="s">
        <v>25</v>
      </c>
      <c r="B42" s="50" t="s">
        <v>26</v>
      </c>
      <c r="C42" s="50"/>
      <c r="D42" s="94">
        <f>G39</f>
        <v>0.47868571428571427</v>
      </c>
      <c r="E42" s="3"/>
      <c r="F42" s="3"/>
      <c r="G42" s="3"/>
      <c r="H42" s="3"/>
      <c r="I42" s="3"/>
    </row>
    <row r="43" spans="1:9" ht="15" x14ac:dyDescent="0.25">
      <c r="A43" s="50"/>
      <c r="B43" s="50" t="s">
        <v>27</v>
      </c>
      <c r="C43" s="50"/>
      <c r="D43" s="164">
        <f>SUM(D41/D42)</f>
        <v>24316.581114957622</v>
      </c>
      <c r="E43" s="3"/>
      <c r="F43" s="3"/>
      <c r="G43" s="3"/>
      <c r="H43" s="3"/>
      <c r="I43" s="3"/>
    </row>
    <row r="45" spans="1:9" ht="29.25" thickBot="1" x14ac:dyDescent="0.25">
      <c r="A45" s="50" t="s">
        <v>29</v>
      </c>
      <c r="B45" s="123"/>
      <c r="C45" s="120" t="s">
        <v>32</v>
      </c>
      <c r="D45" s="120" t="s">
        <v>50</v>
      </c>
      <c r="E45" s="120" t="s">
        <v>62</v>
      </c>
      <c r="F45" s="120" t="s">
        <v>63</v>
      </c>
      <c r="G45" s="4"/>
    </row>
    <row r="46" spans="1:9" ht="15" thickTop="1" x14ac:dyDescent="0.2">
      <c r="A46" s="50" t="s">
        <v>30</v>
      </c>
      <c r="B46" s="162">
        <f>D43</f>
        <v>24316.581114957622</v>
      </c>
      <c r="C46" s="163">
        <f>B46*B34</f>
        <v>10942.46150173093</v>
      </c>
      <c r="D46" s="163">
        <f>B46*B35</f>
        <v>4376.9846006923717</v>
      </c>
      <c r="E46" s="163">
        <f>B46*B36</f>
        <v>1215.8290557478811</v>
      </c>
      <c r="F46" s="163">
        <f>B46*B37</f>
        <v>7781.3059567864393</v>
      </c>
      <c r="G46" s="18"/>
    </row>
    <row r="47" spans="1:9" x14ac:dyDescent="0.2">
      <c r="A47" s="50" t="s">
        <v>31</v>
      </c>
      <c r="B47" s="50"/>
      <c r="C47" s="106">
        <f>C46/D34</f>
        <v>547.12307508654646</v>
      </c>
      <c r="D47" s="106">
        <f>SUM(D46/D35)</f>
        <v>291.79897337949143</v>
      </c>
      <c r="E47" s="106">
        <f>SUM(E46/D36)</f>
        <v>57.896621702280051</v>
      </c>
      <c r="F47" s="106">
        <f>SUM(F46/D37)</f>
        <v>324.22108153276832</v>
      </c>
      <c r="G47" s="4"/>
    </row>
  </sheetData>
  <mergeCells count="3">
    <mergeCell ref="A9:B9"/>
    <mergeCell ref="C32:C33"/>
    <mergeCell ref="D39:F39"/>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78"/>
  <sheetViews>
    <sheetView workbookViewId="0">
      <selection activeCell="M27" sqref="M27"/>
    </sheetView>
  </sheetViews>
  <sheetFormatPr defaultRowHeight="12.75" x14ac:dyDescent="0.2"/>
  <cols>
    <col min="1" max="1" width="23.7109375" bestFit="1" customWidth="1"/>
    <col min="2" max="2" width="21" bestFit="1" customWidth="1"/>
    <col min="4" max="4" width="12.7109375" bestFit="1" customWidth="1"/>
    <col min="6" max="6" width="10.85546875" bestFit="1" customWidth="1"/>
    <col min="7" max="7" width="8" bestFit="1" customWidth="1"/>
    <col min="8" max="8" width="10.5703125" bestFit="1" customWidth="1"/>
  </cols>
  <sheetData>
    <row r="9" spans="1:9" ht="15" x14ac:dyDescent="0.25">
      <c r="A9" s="173" t="s">
        <v>156</v>
      </c>
      <c r="B9" s="173"/>
      <c r="C9" s="173"/>
      <c r="D9" s="173"/>
      <c r="E9" s="173"/>
      <c r="F9" s="173"/>
      <c r="G9" s="173"/>
      <c r="H9" s="173"/>
    </row>
    <row r="10" spans="1:9" ht="38.25" x14ac:dyDescent="0.2">
      <c r="A10" s="50"/>
      <c r="B10" s="104" t="s">
        <v>64</v>
      </c>
      <c r="C10" s="83" t="s">
        <v>66</v>
      </c>
      <c r="D10" s="83" t="s">
        <v>65</v>
      </c>
      <c r="E10" s="40"/>
      <c r="F10" s="3"/>
      <c r="G10" s="3"/>
      <c r="H10" s="3"/>
      <c r="I10" s="3"/>
    </row>
    <row r="11" spans="1:9" ht="14.25" x14ac:dyDescent="0.2">
      <c r="A11" s="54" t="s">
        <v>50</v>
      </c>
      <c r="B11" s="50">
        <v>1.35</v>
      </c>
      <c r="C11" s="50">
        <v>0.65</v>
      </c>
      <c r="D11" s="50">
        <f>SUM(B11)</f>
        <v>1.35</v>
      </c>
      <c r="E11" s="3"/>
      <c r="F11" s="3"/>
      <c r="G11" s="3"/>
      <c r="H11" s="3"/>
      <c r="I11" s="3"/>
    </row>
    <row r="12" spans="1:9" ht="14.25" x14ac:dyDescent="0.2">
      <c r="A12" s="54" t="s">
        <v>62</v>
      </c>
      <c r="B12" s="50">
        <v>1.85</v>
      </c>
      <c r="C12" s="50">
        <v>0.9</v>
      </c>
      <c r="D12" s="50">
        <f>B12-C12</f>
        <v>0.95000000000000007</v>
      </c>
      <c r="E12" s="3"/>
      <c r="F12" s="3"/>
      <c r="G12" s="3"/>
      <c r="H12" s="3"/>
      <c r="I12" s="3"/>
    </row>
    <row r="13" spans="1:9" ht="14.25" x14ac:dyDescent="0.2">
      <c r="A13" s="54" t="s">
        <v>63</v>
      </c>
      <c r="B13" s="50">
        <v>2.1</v>
      </c>
      <c r="C13" s="50">
        <v>1.05</v>
      </c>
      <c r="D13" s="50">
        <f>B13-C13</f>
        <v>1.05</v>
      </c>
      <c r="E13" s="3"/>
      <c r="F13" s="3"/>
      <c r="G13" s="3"/>
      <c r="H13" s="3"/>
      <c r="I13" s="3"/>
    </row>
    <row r="14" spans="1:9" ht="15" x14ac:dyDescent="0.25">
      <c r="A14" s="95"/>
      <c r="B14" s="95"/>
      <c r="C14" s="5"/>
      <c r="D14" s="5"/>
      <c r="E14" s="5"/>
      <c r="F14" s="6"/>
      <c r="G14" s="3"/>
      <c r="H14" s="3"/>
      <c r="I14" s="3"/>
    </row>
    <row r="15" spans="1:9" ht="14.25" x14ac:dyDescent="0.2">
      <c r="A15" s="50"/>
      <c r="B15" s="108" t="s">
        <v>12</v>
      </c>
      <c r="C15" s="165" t="s">
        <v>71</v>
      </c>
      <c r="D15" s="14" t="s">
        <v>13</v>
      </c>
      <c r="E15" s="14"/>
      <c r="F15" s="14"/>
      <c r="G15" s="14" t="s">
        <v>14</v>
      </c>
      <c r="H15" s="14" t="s">
        <v>15</v>
      </c>
      <c r="I15" s="3"/>
    </row>
    <row r="16" spans="1:9" ht="15" thickBot="1" x14ac:dyDescent="0.25">
      <c r="A16" s="53" t="s">
        <v>16</v>
      </c>
      <c r="B16" s="97" t="s">
        <v>13</v>
      </c>
      <c r="C16" s="166"/>
      <c r="D16" s="15" t="s">
        <v>17</v>
      </c>
      <c r="E16" s="15" t="s">
        <v>18</v>
      </c>
      <c r="F16" s="15" t="s">
        <v>19</v>
      </c>
      <c r="G16" s="15" t="s">
        <v>20</v>
      </c>
      <c r="H16" s="15" t="s">
        <v>21</v>
      </c>
      <c r="I16" s="3"/>
    </row>
    <row r="17" spans="1:9" ht="15" thickTop="1" x14ac:dyDescent="0.2">
      <c r="A17" s="54" t="s">
        <v>70</v>
      </c>
      <c r="B17" s="98">
        <v>0.45</v>
      </c>
      <c r="C17" s="99" t="s">
        <v>72</v>
      </c>
      <c r="D17" s="50">
        <f>SUM(4*B11)+(4*B12)+(4*B13)</f>
        <v>21.200000000000003</v>
      </c>
      <c r="E17" s="50">
        <f>SUM(4*C11)+(C12*4)+(4*C13)</f>
        <v>10.4</v>
      </c>
      <c r="F17" s="50">
        <f>D17-E17</f>
        <v>10.800000000000002</v>
      </c>
      <c r="G17" s="235">
        <f>IF(D17&lt;&gt;0,F17/D17,0)</f>
        <v>0.50943396226415094</v>
      </c>
      <c r="H17" s="188">
        <f>SUM(G17*B17)</f>
        <v>0.22924528301886793</v>
      </c>
      <c r="I17" s="3"/>
    </row>
    <row r="18" spans="1:9" ht="14.25" x14ac:dyDescent="0.2">
      <c r="A18" s="54" t="s">
        <v>67</v>
      </c>
      <c r="B18" s="98">
        <v>0.18</v>
      </c>
      <c r="C18" s="100">
        <v>12</v>
      </c>
      <c r="D18" s="50">
        <f>SUM(C18*B11)</f>
        <v>16.200000000000003</v>
      </c>
      <c r="E18" s="50">
        <f>SUM(12*C11)</f>
        <v>7.8000000000000007</v>
      </c>
      <c r="F18" s="50">
        <f t="shared" ref="F18:F20" si="0">D18-E18</f>
        <v>8.4000000000000021</v>
      </c>
      <c r="G18" s="235">
        <f>IF(D18&lt;&gt;0,F18/D18,0)</f>
        <v>0.5185185185185186</v>
      </c>
      <c r="H18" s="188">
        <f t="shared" ref="H18:H20" si="1">SUM(G18*B18)</f>
        <v>9.3333333333333351E-2</v>
      </c>
      <c r="I18" s="3"/>
    </row>
    <row r="19" spans="1:9" ht="14.25" x14ac:dyDescent="0.2">
      <c r="A19" s="54" t="s">
        <v>68</v>
      </c>
      <c r="B19" s="98">
        <v>0.05</v>
      </c>
      <c r="C19" s="100">
        <v>12</v>
      </c>
      <c r="D19" s="50">
        <f>SUM(C19*B12)</f>
        <v>22.200000000000003</v>
      </c>
      <c r="E19" s="50">
        <f>SUM(12*C12)</f>
        <v>10.8</v>
      </c>
      <c r="F19" s="50">
        <f t="shared" si="0"/>
        <v>11.400000000000002</v>
      </c>
      <c r="G19" s="235">
        <f>IF(D19&lt;&gt;0,F19/D19,0)</f>
        <v>0.5135135135135136</v>
      </c>
      <c r="H19" s="188">
        <f t="shared" si="1"/>
        <v>2.5675675675675681E-2</v>
      </c>
      <c r="I19" s="3"/>
    </row>
    <row r="20" spans="1:9" ht="14.25" x14ac:dyDescent="0.2">
      <c r="A20" s="54" t="s">
        <v>69</v>
      </c>
      <c r="B20" s="98">
        <v>0.32</v>
      </c>
      <c r="C20" s="100">
        <v>12</v>
      </c>
      <c r="D20" s="50">
        <f>SUM(B13*C20)</f>
        <v>25.200000000000003</v>
      </c>
      <c r="E20" s="50">
        <f>SUM(12*C13)</f>
        <v>12.600000000000001</v>
      </c>
      <c r="F20" s="50">
        <f t="shared" si="0"/>
        <v>12.600000000000001</v>
      </c>
      <c r="G20" s="235">
        <f>IF(D20&lt;&gt;0,F20/D20,0)</f>
        <v>0.5</v>
      </c>
      <c r="H20" s="188">
        <f t="shared" si="1"/>
        <v>0.16</v>
      </c>
      <c r="I20" s="3"/>
    </row>
    <row r="21" spans="1:9" ht="15" thickBot="1" x14ac:dyDescent="0.25">
      <c r="A21" s="54"/>
      <c r="B21" s="98"/>
      <c r="C21" s="100"/>
      <c r="D21" s="50"/>
      <c r="E21" s="50"/>
      <c r="F21" s="50"/>
      <c r="G21" s="187"/>
      <c r="H21" s="101"/>
      <c r="I21" s="3"/>
    </row>
    <row r="22" spans="1:9" ht="15" x14ac:dyDescent="0.25">
      <c r="A22" s="50" t="s">
        <v>22</v>
      </c>
      <c r="B22" s="103">
        <f>SUM(B17:B20)</f>
        <v>1</v>
      </c>
      <c r="C22" s="50"/>
      <c r="D22" s="234" t="s">
        <v>23</v>
      </c>
      <c r="E22" s="234"/>
      <c r="F22" s="234"/>
      <c r="G22" s="88">
        <f>SUM(H17:H20)</f>
        <v>0.50825429202787697</v>
      </c>
      <c r="H22" s="3"/>
      <c r="I22" s="3"/>
    </row>
    <row r="23" spans="1:9" ht="14.25" x14ac:dyDescent="0.2">
      <c r="A23" s="88" t="s">
        <v>24</v>
      </c>
      <c r="B23" s="50"/>
      <c r="C23" s="3"/>
      <c r="D23" s="3" t="s">
        <v>24</v>
      </c>
      <c r="E23" s="3"/>
      <c r="F23" s="3"/>
      <c r="G23" s="2" t="s">
        <v>24</v>
      </c>
      <c r="H23" s="3"/>
      <c r="I23" s="3"/>
    </row>
    <row r="24" spans="1:9" ht="14.25" x14ac:dyDescent="0.2">
      <c r="A24" s="50"/>
      <c r="B24" s="50" t="s">
        <v>11</v>
      </c>
      <c r="C24" s="50"/>
      <c r="D24" s="144">
        <v>11640</v>
      </c>
      <c r="E24" s="3"/>
      <c r="F24" s="3"/>
      <c r="G24" s="3"/>
      <c r="H24" s="3"/>
      <c r="I24" s="3"/>
    </row>
    <row r="25" spans="1:9" ht="14.25" x14ac:dyDescent="0.2">
      <c r="A25" s="93" t="s">
        <v>25</v>
      </c>
      <c r="B25" s="50" t="s">
        <v>26</v>
      </c>
      <c r="C25" s="50"/>
      <c r="D25" s="94">
        <f>G22</f>
        <v>0.50825429202787697</v>
      </c>
      <c r="E25" s="3"/>
      <c r="F25" s="3"/>
      <c r="G25" s="3"/>
      <c r="H25" s="3"/>
      <c r="I25" s="3"/>
    </row>
    <row r="26" spans="1:9" ht="15" x14ac:dyDescent="0.25">
      <c r="A26" s="50"/>
      <c r="B26" s="50" t="s">
        <v>27</v>
      </c>
      <c r="C26" s="50"/>
      <c r="D26" s="164">
        <f>SUM(D24/D25)</f>
        <v>22901.92170056788</v>
      </c>
      <c r="E26" s="3"/>
      <c r="F26" s="3"/>
      <c r="G26" s="3"/>
      <c r="H26" s="3"/>
      <c r="I26" s="3"/>
    </row>
    <row r="27" spans="1:9" ht="14.25" x14ac:dyDescent="0.2">
      <c r="A27" s="89"/>
      <c r="B27" s="89"/>
    </row>
    <row r="28" spans="1:9" ht="29.25" thickBot="1" x14ac:dyDescent="0.25">
      <c r="A28" s="50" t="s">
        <v>29</v>
      </c>
      <c r="B28" s="123"/>
      <c r="C28" s="120" t="s">
        <v>32</v>
      </c>
      <c r="D28" s="120" t="s">
        <v>50</v>
      </c>
      <c r="E28" s="120" t="s">
        <v>62</v>
      </c>
      <c r="F28" s="120" t="s">
        <v>63</v>
      </c>
      <c r="G28" s="4"/>
    </row>
    <row r="29" spans="1:9" ht="15" thickTop="1" x14ac:dyDescent="0.2">
      <c r="A29" s="50" t="s">
        <v>30</v>
      </c>
      <c r="B29" s="162">
        <f>D26</f>
        <v>22901.92170056788</v>
      </c>
      <c r="C29" s="163">
        <f>B29*B17</f>
        <v>10305.864765255546</v>
      </c>
      <c r="D29" s="163">
        <f>B29*B18</f>
        <v>4122.3459061022186</v>
      </c>
      <c r="E29" s="163">
        <f>B29*B19</f>
        <v>1145.0960850283941</v>
      </c>
      <c r="F29" s="163">
        <f>B29*B20</f>
        <v>7328.6149441817215</v>
      </c>
      <c r="G29" s="18"/>
    </row>
    <row r="30" spans="1:9" ht="14.25" x14ac:dyDescent="0.2">
      <c r="A30" s="50" t="s">
        <v>31</v>
      </c>
      <c r="B30" s="50"/>
      <c r="C30" s="106">
        <f>C29/D17</f>
        <v>486.12569647431815</v>
      </c>
      <c r="D30" s="106">
        <f>SUM(D29/D18)</f>
        <v>254.46579667297641</v>
      </c>
      <c r="E30" s="106">
        <f>SUM(E29/D19)</f>
        <v>51.580904731008737</v>
      </c>
      <c r="F30" s="106">
        <f>SUM(F29/D20)</f>
        <v>290.81805334054445</v>
      </c>
      <c r="G30" s="4"/>
    </row>
    <row r="33" spans="1:9" ht="15" x14ac:dyDescent="0.25">
      <c r="A33" s="173" t="s">
        <v>157</v>
      </c>
      <c r="B33" s="173"/>
      <c r="C33" s="173"/>
      <c r="D33" s="173"/>
      <c r="E33" s="173"/>
      <c r="F33" s="173"/>
      <c r="G33" s="173"/>
      <c r="H33" s="173"/>
    </row>
    <row r="34" spans="1:9" ht="38.25" x14ac:dyDescent="0.2">
      <c r="A34" s="50"/>
      <c r="B34" s="104" t="s">
        <v>64</v>
      </c>
      <c r="C34" s="83" t="s">
        <v>66</v>
      </c>
      <c r="D34" s="83" t="s">
        <v>65</v>
      </c>
      <c r="E34" s="40"/>
      <c r="F34" s="3"/>
      <c r="G34" s="3"/>
      <c r="H34" s="3"/>
      <c r="I34" s="3"/>
    </row>
    <row r="35" spans="1:9" ht="14.25" x14ac:dyDescent="0.2">
      <c r="A35" s="54" t="s">
        <v>50</v>
      </c>
      <c r="B35" s="50">
        <v>1.25</v>
      </c>
      <c r="C35" s="50">
        <v>0.55000000000000004</v>
      </c>
      <c r="D35" s="50">
        <f>SUM(B35)</f>
        <v>1.25</v>
      </c>
      <c r="E35" s="3"/>
      <c r="F35" s="3"/>
      <c r="G35" s="3"/>
      <c r="H35" s="3"/>
      <c r="I35" s="3"/>
    </row>
    <row r="36" spans="1:9" ht="14.25" x14ac:dyDescent="0.2">
      <c r="A36" s="54" t="s">
        <v>62</v>
      </c>
      <c r="B36" s="50">
        <v>1.75</v>
      </c>
      <c r="C36" s="50">
        <v>0.8</v>
      </c>
      <c r="D36" s="50">
        <f>B36-C36</f>
        <v>0.95</v>
      </c>
      <c r="E36" s="3"/>
      <c r="F36" s="3"/>
      <c r="G36" s="3"/>
      <c r="H36" s="3"/>
      <c r="I36" s="3"/>
    </row>
    <row r="37" spans="1:9" ht="14.25" x14ac:dyDescent="0.2">
      <c r="A37" s="54" t="s">
        <v>63</v>
      </c>
      <c r="B37" s="50">
        <v>2</v>
      </c>
      <c r="C37" s="50">
        <v>0.95</v>
      </c>
      <c r="D37" s="50">
        <f>B37-C37</f>
        <v>1.05</v>
      </c>
      <c r="E37" s="3"/>
      <c r="F37" s="3"/>
      <c r="G37" s="3"/>
      <c r="H37" s="3"/>
      <c r="I37" s="3"/>
    </row>
    <row r="38" spans="1:9" ht="15" x14ac:dyDescent="0.25">
      <c r="A38" s="95"/>
      <c r="B38" s="95"/>
      <c r="C38" s="5"/>
      <c r="D38" s="5"/>
      <c r="E38" s="5"/>
      <c r="F38" s="6"/>
      <c r="G38" s="3"/>
      <c r="H38" s="3"/>
      <c r="I38" s="3"/>
    </row>
    <row r="39" spans="1:9" ht="14.25" x14ac:dyDescent="0.2">
      <c r="A39" s="50"/>
      <c r="B39" s="108" t="s">
        <v>12</v>
      </c>
      <c r="C39" s="165" t="s">
        <v>71</v>
      </c>
      <c r="D39" s="14" t="s">
        <v>13</v>
      </c>
      <c r="E39" s="14"/>
      <c r="F39" s="14"/>
      <c r="G39" s="14" t="s">
        <v>14</v>
      </c>
      <c r="H39" s="14" t="s">
        <v>15</v>
      </c>
      <c r="I39" s="3"/>
    </row>
    <row r="40" spans="1:9" ht="15" thickBot="1" x14ac:dyDescent="0.25">
      <c r="A40" s="53" t="s">
        <v>16</v>
      </c>
      <c r="B40" s="97" t="s">
        <v>13</v>
      </c>
      <c r="C40" s="166"/>
      <c r="D40" s="15" t="s">
        <v>17</v>
      </c>
      <c r="E40" s="15" t="s">
        <v>18</v>
      </c>
      <c r="F40" s="15" t="s">
        <v>19</v>
      </c>
      <c r="G40" s="15" t="s">
        <v>20</v>
      </c>
      <c r="H40" s="15" t="s">
        <v>21</v>
      </c>
      <c r="I40" s="3"/>
    </row>
    <row r="41" spans="1:9" ht="15" thickTop="1" x14ac:dyDescent="0.2">
      <c r="A41" s="54" t="s">
        <v>70</v>
      </c>
      <c r="B41" s="98">
        <v>0.45</v>
      </c>
      <c r="C41" s="99" t="s">
        <v>72</v>
      </c>
      <c r="D41" s="50">
        <f>SUM(4*B35)+(4*B36)+(4*B37)</f>
        <v>20</v>
      </c>
      <c r="E41" s="50">
        <f>SUM(4*C35)+(C36*4)+(4*C37)</f>
        <v>9.1999999999999993</v>
      </c>
      <c r="F41" s="50">
        <f>D41-E41</f>
        <v>10.8</v>
      </c>
      <c r="G41" s="235">
        <f>IF(D41&lt;&gt;0,F41/D41,0)</f>
        <v>0.54</v>
      </c>
      <c r="H41" s="188">
        <f>SUM(G41*B41)</f>
        <v>0.24300000000000002</v>
      </c>
      <c r="I41" s="3"/>
    </row>
    <row r="42" spans="1:9" ht="14.25" x14ac:dyDescent="0.2">
      <c r="A42" s="54" t="s">
        <v>67</v>
      </c>
      <c r="B42" s="98">
        <v>0.18</v>
      </c>
      <c r="C42" s="100">
        <v>12</v>
      </c>
      <c r="D42" s="50">
        <f>SUM(C42*B35)</f>
        <v>15</v>
      </c>
      <c r="E42" s="50">
        <f>SUM(12*C35)</f>
        <v>6.6000000000000005</v>
      </c>
      <c r="F42" s="50">
        <f t="shared" ref="F42:F44" si="2">D42-E42</f>
        <v>8.3999999999999986</v>
      </c>
      <c r="G42" s="235">
        <f>IF(D42&lt;&gt;0,F42/D42,0)</f>
        <v>0.55999999999999994</v>
      </c>
      <c r="H42" s="188">
        <f t="shared" ref="H42:H44" si="3">SUM(G42*B42)</f>
        <v>0.10079999999999999</v>
      </c>
      <c r="I42" s="3"/>
    </row>
    <row r="43" spans="1:9" ht="14.25" x14ac:dyDescent="0.2">
      <c r="A43" s="54" t="s">
        <v>68</v>
      </c>
      <c r="B43" s="98">
        <v>0.05</v>
      </c>
      <c r="C43" s="100">
        <v>12</v>
      </c>
      <c r="D43" s="50">
        <f>SUM(C43*B36)</f>
        <v>21</v>
      </c>
      <c r="E43" s="50">
        <f>SUM(12*C36)</f>
        <v>9.6000000000000014</v>
      </c>
      <c r="F43" s="50">
        <f t="shared" si="2"/>
        <v>11.399999999999999</v>
      </c>
      <c r="G43" s="235">
        <f>IF(D43&lt;&gt;0,F43/D43,0)</f>
        <v>0.54285714285714282</v>
      </c>
      <c r="H43" s="188">
        <f t="shared" si="3"/>
        <v>2.7142857142857142E-2</v>
      </c>
      <c r="I43" s="3"/>
    </row>
    <row r="44" spans="1:9" ht="14.25" x14ac:dyDescent="0.2">
      <c r="A44" s="54" t="s">
        <v>69</v>
      </c>
      <c r="B44" s="98">
        <v>0.32</v>
      </c>
      <c r="C44" s="100">
        <v>12</v>
      </c>
      <c r="D44" s="50">
        <f>SUM(B37*C44)</f>
        <v>24</v>
      </c>
      <c r="E44" s="50">
        <f>SUM(12*C37)</f>
        <v>11.399999999999999</v>
      </c>
      <c r="F44" s="50">
        <f t="shared" si="2"/>
        <v>12.600000000000001</v>
      </c>
      <c r="G44" s="235">
        <f>IF(D44&lt;&gt;0,F44/D44,0)</f>
        <v>0.52500000000000002</v>
      </c>
      <c r="H44" s="188">
        <f t="shared" si="3"/>
        <v>0.16800000000000001</v>
      </c>
      <c r="I44" s="3"/>
    </row>
    <row r="45" spans="1:9" ht="15" thickBot="1" x14ac:dyDescent="0.25">
      <c r="A45" s="54"/>
      <c r="B45" s="98"/>
      <c r="C45" s="100"/>
      <c r="D45" s="50"/>
      <c r="E45" s="50"/>
      <c r="F45" s="50"/>
      <c r="G45" s="187"/>
      <c r="H45" s="101"/>
      <c r="I45" s="3"/>
    </row>
    <row r="46" spans="1:9" ht="15" x14ac:dyDescent="0.25">
      <c r="A46" s="50" t="s">
        <v>22</v>
      </c>
      <c r="B46" s="103">
        <f>SUM(B41:B44)</f>
        <v>1</v>
      </c>
      <c r="C46" s="50"/>
      <c r="D46" s="234" t="s">
        <v>23</v>
      </c>
      <c r="E46" s="234"/>
      <c r="F46" s="234"/>
      <c r="G46" s="88">
        <f>SUM(H41:H44)</f>
        <v>0.53894285714285717</v>
      </c>
      <c r="H46" s="3"/>
      <c r="I46" s="3"/>
    </row>
    <row r="47" spans="1:9" ht="14.25" x14ac:dyDescent="0.2">
      <c r="A47" s="88" t="s">
        <v>24</v>
      </c>
      <c r="B47" s="50"/>
      <c r="C47" s="3"/>
      <c r="D47" s="3" t="s">
        <v>24</v>
      </c>
      <c r="E47" s="3"/>
      <c r="F47" s="3"/>
      <c r="G47" s="2" t="s">
        <v>24</v>
      </c>
      <c r="H47" s="3"/>
      <c r="I47" s="3"/>
    </row>
    <row r="48" spans="1:9" ht="14.25" x14ac:dyDescent="0.2">
      <c r="A48" s="50"/>
      <c r="B48" s="50" t="s">
        <v>11</v>
      </c>
      <c r="C48" s="50"/>
      <c r="D48" s="144">
        <v>11640</v>
      </c>
      <c r="E48" s="3"/>
      <c r="F48" s="3"/>
      <c r="G48" s="3"/>
      <c r="H48" s="3"/>
      <c r="I48" s="3"/>
    </row>
    <row r="49" spans="1:9" ht="14.25" x14ac:dyDescent="0.2">
      <c r="A49" s="93" t="s">
        <v>25</v>
      </c>
      <c r="B49" s="50" t="s">
        <v>26</v>
      </c>
      <c r="C49" s="50"/>
      <c r="D49" s="94">
        <f>G46</f>
        <v>0.53894285714285717</v>
      </c>
      <c r="E49" s="3"/>
      <c r="F49" s="3"/>
      <c r="G49" s="3"/>
      <c r="H49" s="3"/>
      <c r="I49" s="3"/>
    </row>
    <row r="50" spans="1:9" ht="15" x14ac:dyDescent="0.25">
      <c r="A50" s="50"/>
      <c r="B50" s="50" t="s">
        <v>27</v>
      </c>
      <c r="C50" s="50"/>
      <c r="D50" s="164">
        <f>SUM(D48/D49)</f>
        <v>21597.837035466255</v>
      </c>
      <c r="E50" s="3"/>
      <c r="F50" s="3"/>
      <c r="G50" s="3"/>
      <c r="H50" s="3"/>
      <c r="I50" s="3"/>
    </row>
    <row r="51" spans="1:9" ht="14.25" x14ac:dyDescent="0.2">
      <c r="A51" s="89"/>
      <c r="B51" s="89"/>
    </row>
    <row r="52" spans="1:9" ht="29.25" thickBot="1" x14ac:dyDescent="0.25">
      <c r="A52" s="50" t="s">
        <v>29</v>
      </c>
      <c r="B52" s="123"/>
      <c r="C52" s="120" t="s">
        <v>32</v>
      </c>
      <c r="D52" s="120" t="s">
        <v>50</v>
      </c>
      <c r="E52" s="120" t="s">
        <v>62</v>
      </c>
      <c r="F52" s="120" t="s">
        <v>63</v>
      </c>
      <c r="G52" s="4"/>
    </row>
    <row r="53" spans="1:9" ht="15" thickTop="1" x14ac:dyDescent="0.2">
      <c r="A53" s="50" t="s">
        <v>30</v>
      </c>
      <c r="B53" s="162">
        <f>D50</f>
        <v>21597.837035466255</v>
      </c>
      <c r="C53" s="163">
        <f>B53*B41</f>
        <v>9719.0266659598146</v>
      </c>
      <c r="D53" s="163">
        <f>B53*B42</f>
        <v>3887.6106663839255</v>
      </c>
      <c r="E53" s="163">
        <f>B53*B43</f>
        <v>1079.8918517733127</v>
      </c>
      <c r="F53" s="163">
        <f>B53*B44</f>
        <v>6911.3078513492019</v>
      </c>
      <c r="G53" s="18"/>
    </row>
    <row r="54" spans="1:9" ht="14.25" x14ac:dyDescent="0.2">
      <c r="A54" s="50" t="s">
        <v>31</v>
      </c>
      <c r="B54" s="50"/>
      <c r="C54" s="106">
        <f>C53/D41</f>
        <v>485.95133329799074</v>
      </c>
      <c r="D54" s="106">
        <f>SUM(D53/D42)</f>
        <v>259.17404442559501</v>
      </c>
      <c r="E54" s="106">
        <f>SUM(E53/D43)</f>
        <v>51.423421513014894</v>
      </c>
      <c r="F54" s="106">
        <f>SUM(F53/D44)</f>
        <v>287.97116047288341</v>
      </c>
      <c r="G54" s="4"/>
    </row>
    <row r="57" spans="1:9" ht="15" x14ac:dyDescent="0.25">
      <c r="A57" s="173" t="s">
        <v>158</v>
      </c>
      <c r="B57" s="173"/>
      <c r="C57" s="173"/>
      <c r="D57" s="173"/>
      <c r="E57" s="173"/>
      <c r="F57" s="173"/>
      <c r="G57" s="173"/>
      <c r="H57" s="173"/>
    </row>
    <row r="58" spans="1:9" ht="38.25" x14ac:dyDescent="0.2">
      <c r="A58" s="50"/>
      <c r="B58" s="104" t="s">
        <v>64</v>
      </c>
      <c r="C58" s="83" t="s">
        <v>66</v>
      </c>
      <c r="D58" s="83" t="s">
        <v>65</v>
      </c>
      <c r="E58" s="40"/>
      <c r="F58" s="3"/>
      <c r="G58" s="3"/>
      <c r="H58" s="3"/>
      <c r="I58" s="3"/>
    </row>
    <row r="59" spans="1:9" ht="14.25" x14ac:dyDescent="0.2">
      <c r="A59" s="54" t="s">
        <v>50</v>
      </c>
      <c r="B59" s="50">
        <v>1.35</v>
      </c>
      <c r="C59" s="50">
        <v>0.55000000000000004</v>
      </c>
      <c r="D59" s="50">
        <f>SUM(B59)</f>
        <v>1.35</v>
      </c>
      <c r="E59" s="3"/>
      <c r="F59" s="3"/>
      <c r="G59" s="3"/>
      <c r="H59" s="3"/>
      <c r="I59" s="3"/>
    </row>
    <row r="60" spans="1:9" ht="14.25" x14ac:dyDescent="0.2">
      <c r="A60" s="54" t="s">
        <v>62</v>
      </c>
      <c r="B60" s="50">
        <v>1.85</v>
      </c>
      <c r="C60" s="50">
        <v>0.8</v>
      </c>
      <c r="D60" s="50">
        <f>B60-C60</f>
        <v>1.05</v>
      </c>
      <c r="E60" s="3"/>
      <c r="F60" s="3"/>
      <c r="G60" s="3"/>
      <c r="H60" s="3"/>
      <c r="I60" s="3"/>
    </row>
    <row r="61" spans="1:9" ht="14.25" x14ac:dyDescent="0.2">
      <c r="A61" s="54" t="s">
        <v>63</v>
      </c>
      <c r="B61" s="50">
        <v>2.1</v>
      </c>
      <c r="C61" s="50">
        <v>0.95</v>
      </c>
      <c r="D61" s="50">
        <f>B61-C61</f>
        <v>1.1500000000000001</v>
      </c>
      <c r="E61" s="3"/>
      <c r="F61" s="3"/>
      <c r="G61" s="3"/>
      <c r="H61" s="3"/>
      <c r="I61" s="3"/>
    </row>
    <row r="62" spans="1:9" ht="15" x14ac:dyDescent="0.25">
      <c r="A62" s="95"/>
      <c r="B62" s="95"/>
      <c r="C62" s="5"/>
      <c r="D62" s="5"/>
      <c r="E62" s="5"/>
      <c r="F62" s="6"/>
      <c r="G62" s="3"/>
      <c r="H62" s="3"/>
      <c r="I62" s="3"/>
    </row>
    <row r="63" spans="1:9" ht="14.25" x14ac:dyDescent="0.2">
      <c r="A63" s="50"/>
      <c r="B63" s="108" t="s">
        <v>12</v>
      </c>
      <c r="C63" s="165" t="s">
        <v>71</v>
      </c>
      <c r="D63" s="14" t="s">
        <v>13</v>
      </c>
      <c r="E63" s="14"/>
      <c r="F63" s="14"/>
      <c r="G63" s="14" t="s">
        <v>14</v>
      </c>
      <c r="H63" s="14" t="s">
        <v>15</v>
      </c>
      <c r="I63" s="3"/>
    </row>
    <row r="64" spans="1:9" ht="15" thickBot="1" x14ac:dyDescent="0.25">
      <c r="A64" s="53" t="s">
        <v>16</v>
      </c>
      <c r="B64" s="97" t="s">
        <v>13</v>
      </c>
      <c r="C64" s="166"/>
      <c r="D64" s="15" t="s">
        <v>17</v>
      </c>
      <c r="E64" s="15" t="s">
        <v>18</v>
      </c>
      <c r="F64" s="15" t="s">
        <v>19</v>
      </c>
      <c r="G64" s="15" t="s">
        <v>20</v>
      </c>
      <c r="H64" s="15" t="s">
        <v>21</v>
      </c>
      <c r="I64" s="3"/>
    </row>
    <row r="65" spans="1:9" ht="15" thickTop="1" x14ac:dyDescent="0.2">
      <c r="A65" s="54" t="s">
        <v>70</v>
      </c>
      <c r="B65" s="98">
        <v>0.45</v>
      </c>
      <c r="C65" s="99" t="s">
        <v>72</v>
      </c>
      <c r="D65" s="50">
        <f>SUM(4*B59)+(4*B60)+(4*B61)</f>
        <v>21.200000000000003</v>
      </c>
      <c r="E65" s="50">
        <f>SUM(4*C59)+(C60*4)+(4*C61)</f>
        <v>9.1999999999999993</v>
      </c>
      <c r="F65" s="50">
        <f>D65-E65</f>
        <v>12.000000000000004</v>
      </c>
      <c r="G65" s="235">
        <f>IF(D65&lt;&gt;0,F65/D65,0)</f>
        <v>0.5660377358490567</v>
      </c>
      <c r="H65" s="188">
        <f>SUM(G65*B65)</f>
        <v>0.25471698113207553</v>
      </c>
      <c r="I65" s="3"/>
    </row>
    <row r="66" spans="1:9" ht="14.25" x14ac:dyDescent="0.2">
      <c r="A66" s="54" t="s">
        <v>67</v>
      </c>
      <c r="B66" s="98">
        <v>0.18</v>
      </c>
      <c r="C66" s="100">
        <v>12</v>
      </c>
      <c r="D66" s="50">
        <f>SUM(C66*B59)</f>
        <v>16.200000000000003</v>
      </c>
      <c r="E66" s="50">
        <f>SUM(12*C59)</f>
        <v>6.6000000000000005</v>
      </c>
      <c r="F66" s="50">
        <f t="shared" ref="F66:F68" si="4">D66-E66</f>
        <v>9.6000000000000014</v>
      </c>
      <c r="G66" s="235">
        <f>IF(D66&lt;&gt;0,F66/D66,0)</f>
        <v>0.59259259259259256</v>
      </c>
      <c r="H66" s="188">
        <f t="shared" ref="H66:H68" si="5">SUM(G66*B66)</f>
        <v>0.10666666666666666</v>
      </c>
      <c r="I66" s="3"/>
    </row>
    <row r="67" spans="1:9" ht="14.25" x14ac:dyDescent="0.2">
      <c r="A67" s="54" t="s">
        <v>68</v>
      </c>
      <c r="B67" s="98">
        <v>0.05</v>
      </c>
      <c r="C67" s="100">
        <v>12</v>
      </c>
      <c r="D67" s="50">
        <f>SUM(C67*B60)</f>
        <v>22.200000000000003</v>
      </c>
      <c r="E67" s="50">
        <f>SUM(12*C60)</f>
        <v>9.6000000000000014</v>
      </c>
      <c r="F67" s="50">
        <f t="shared" si="4"/>
        <v>12.600000000000001</v>
      </c>
      <c r="G67" s="235">
        <f>IF(D67&lt;&gt;0,F67/D67,0)</f>
        <v>0.56756756756756754</v>
      </c>
      <c r="H67" s="188">
        <f t="shared" si="5"/>
        <v>2.837837837837838E-2</v>
      </c>
      <c r="I67" s="3"/>
    </row>
    <row r="68" spans="1:9" ht="14.25" x14ac:dyDescent="0.2">
      <c r="A68" s="54" t="s">
        <v>69</v>
      </c>
      <c r="B68" s="98">
        <v>0.32</v>
      </c>
      <c r="C68" s="100">
        <v>12</v>
      </c>
      <c r="D68" s="50">
        <f>SUM(B61*C68)</f>
        <v>25.200000000000003</v>
      </c>
      <c r="E68" s="50">
        <f>SUM(12*C61)</f>
        <v>11.399999999999999</v>
      </c>
      <c r="F68" s="50">
        <f t="shared" si="4"/>
        <v>13.800000000000004</v>
      </c>
      <c r="G68" s="235">
        <f>IF(D68&lt;&gt;0,F68/D68,0)</f>
        <v>0.54761904761904767</v>
      </c>
      <c r="H68" s="188">
        <f t="shared" si="5"/>
        <v>0.17523809523809525</v>
      </c>
      <c r="I68" s="3"/>
    </row>
    <row r="69" spans="1:9" ht="15" thickBot="1" x14ac:dyDescent="0.25">
      <c r="A69" s="54"/>
      <c r="B69" s="98"/>
      <c r="C69" s="100"/>
      <c r="D69" s="50"/>
      <c r="E69" s="50"/>
      <c r="F69" s="50"/>
      <c r="G69" s="187"/>
      <c r="H69" s="101"/>
      <c r="I69" s="3"/>
    </row>
    <row r="70" spans="1:9" ht="15" x14ac:dyDescent="0.25">
      <c r="A70" s="50" t="s">
        <v>22</v>
      </c>
      <c r="B70" s="103">
        <f>SUM(B65:B68)</f>
        <v>1</v>
      </c>
      <c r="C70" s="50"/>
      <c r="D70" s="234" t="s">
        <v>23</v>
      </c>
      <c r="E70" s="234"/>
      <c r="F70" s="234"/>
      <c r="G70" s="88">
        <f>SUM(H65:H68)</f>
        <v>0.56500012141521583</v>
      </c>
      <c r="H70" s="3"/>
      <c r="I70" s="3"/>
    </row>
    <row r="71" spans="1:9" ht="14.25" x14ac:dyDescent="0.2">
      <c r="A71" s="88" t="s">
        <v>24</v>
      </c>
      <c r="B71" s="50"/>
      <c r="C71" s="3"/>
      <c r="D71" s="3" t="s">
        <v>24</v>
      </c>
      <c r="E71" s="3"/>
      <c r="F71" s="3"/>
      <c r="G71" s="2" t="s">
        <v>24</v>
      </c>
      <c r="H71" s="3"/>
      <c r="I71" s="3"/>
    </row>
    <row r="72" spans="1:9" ht="14.25" x14ac:dyDescent="0.2">
      <c r="A72" s="50"/>
      <c r="B72" s="50" t="s">
        <v>11</v>
      </c>
      <c r="C72" s="50"/>
      <c r="D72" s="144">
        <v>11640</v>
      </c>
      <c r="E72" s="3"/>
      <c r="F72" s="3"/>
      <c r="G72" s="3"/>
      <c r="H72" s="3"/>
      <c r="I72" s="3"/>
    </row>
    <row r="73" spans="1:9" ht="14.25" x14ac:dyDescent="0.2">
      <c r="A73" s="93" t="s">
        <v>25</v>
      </c>
      <c r="B73" s="50" t="s">
        <v>26</v>
      </c>
      <c r="C73" s="50"/>
      <c r="D73" s="94">
        <f>G70</f>
        <v>0.56500012141521583</v>
      </c>
      <c r="E73" s="3"/>
      <c r="F73" s="3"/>
      <c r="G73" s="3"/>
      <c r="H73" s="3"/>
      <c r="I73" s="3"/>
    </row>
    <row r="74" spans="1:9" ht="15" x14ac:dyDescent="0.25">
      <c r="A74" s="50"/>
      <c r="B74" s="50" t="s">
        <v>27</v>
      </c>
      <c r="C74" s="50"/>
      <c r="D74" s="164">
        <f>SUM(D72/D73)</f>
        <v>20601.765484304775</v>
      </c>
      <c r="E74" s="3"/>
      <c r="F74" s="3"/>
      <c r="G74" s="3"/>
      <c r="H74" s="3"/>
      <c r="I74" s="3"/>
    </row>
    <row r="75" spans="1:9" ht="14.25" x14ac:dyDescent="0.2">
      <c r="A75" s="89"/>
      <c r="B75" s="89"/>
    </row>
    <row r="76" spans="1:9" ht="29.25" thickBot="1" x14ac:dyDescent="0.25">
      <c r="A76" s="50" t="s">
        <v>29</v>
      </c>
      <c r="B76" s="123"/>
      <c r="C76" s="120" t="s">
        <v>32</v>
      </c>
      <c r="D76" s="120" t="s">
        <v>50</v>
      </c>
      <c r="E76" s="120" t="s">
        <v>62</v>
      </c>
      <c r="F76" s="120" t="s">
        <v>63</v>
      </c>
      <c r="G76" s="4"/>
    </row>
    <row r="77" spans="1:9" ht="15" thickTop="1" x14ac:dyDescent="0.2">
      <c r="A77" s="50" t="s">
        <v>30</v>
      </c>
      <c r="B77" s="162">
        <f>D74</f>
        <v>20601.765484304775</v>
      </c>
      <c r="C77" s="163">
        <f>B77*B65</f>
        <v>9270.7944679371485</v>
      </c>
      <c r="D77" s="163">
        <f>B77*B66</f>
        <v>3708.3177871748594</v>
      </c>
      <c r="E77" s="163">
        <f>B77*B67</f>
        <v>1030.0882742152387</v>
      </c>
      <c r="F77" s="163">
        <f>B77*B68</f>
        <v>6592.564954977528</v>
      </c>
      <c r="G77" s="18"/>
    </row>
    <row r="78" spans="1:9" ht="14.25" x14ac:dyDescent="0.2">
      <c r="A78" s="50" t="s">
        <v>31</v>
      </c>
      <c r="B78" s="50"/>
      <c r="C78" s="106">
        <f>C77/D65</f>
        <v>437.30162584609184</v>
      </c>
      <c r="D78" s="106">
        <f>SUM(D77/D66)</f>
        <v>228.90850538116413</v>
      </c>
      <c r="E78" s="106">
        <f>SUM(E77/D67)</f>
        <v>46.400372712398131</v>
      </c>
      <c r="F78" s="106">
        <f>SUM(F77/D68)</f>
        <v>261.60972043561617</v>
      </c>
      <c r="G78" s="4"/>
    </row>
  </sheetData>
  <mergeCells count="9">
    <mergeCell ref="A57:H57"/>
    <mergeCell ref="C63:C64"/>
    <mergeCell ref="D70:F70"/>
    <mergeCell ref="C15:C16"/>
    <mergeCell ref="D22:F22"/>
    <mergeCell ref="A9:H9"/>
    <mergeCell ref="A33:H33"/>
    <mergeCell ref="C39:C40"/>
    <mergeCell ref="D46:F4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11" sqref="B11"/>
    </sheetView>
  </sheetViews>
  <sheetFormatPr defaultRowHeight="15" x14ac:dyDescent="0.2"/>
  <cols>
    <col min="1" max="1" width="31.28515625" bestFit="1" customWidth="1"/>
    <col min="2" max="2" width="17.140625" style="58" bestFit="1" customWidth="1"/>
    <col min="3" max="4" width="15.5703125" style="60" bestFit="1" customWidth="1"/>
  </cols>
  <sheetData>
    <row r="1" spans="1:4" ht="15.75" x14ac:dyDescent="0.2">
      <c r="A1" s="176" t="s">
        <v>80</v>
      </c>
      <c r="B1" s="176"/>
      <c r="C1" s="176"/>
      <c r="D1" s="176"/>
    </row>
    <row r="2" spans="1:4" ht="15.75" x14ac:dyDescent="0.2">
      <c r="A2" s="56"/>
      <c r="B2" s="61">
        <v>2012</v>
      </c>
      <c r="C2" s="61">
        <v>2013</v>
      </c>
      <c r="D2" s="61">
        <v>2014</v>
      </c>
    </row>
    <row r="3" spans="1:4" ht="15.75" x14ac:dyDescent="0.25">
      <c r="A3" s="44" t="s">
        <v>38</v>
      </c>
    </row>
    <row r="4" spans="1:4" s="62" customFormat="1" ht="15.75" x14ac:dyDescent="0.25">
      <c r="A4" s="57" t="s">
        <v>32</v>
      </c>
      <c r="B4" s="63">
        <v>40500</v>
      </c>
      <c r="C4" s="63">
        <f>SUM(B4*1.1)</f>
        <v>44550</v>
      </c>
      <c r="D4" s="63">
        <f>SUM(C4*1.12)</f>
        <v>49896.000000000007</v>
      </c>
    </row>
    <row r="5" spans="1:4" s="62" customFormat="1" ht="15.75" x14ac:dyDescent="0.25">
      <c r="A5" s="57" t="s">
        <v>50</v>
      </c>
      <c r="B5" s="63">
        <v>16200</v>
      </c>
      <c r="C5" s="63">
        <f t="shared" ref="C5:C29" si="0">SUM(B5*1.1)</f>
        <v>17820</v>
      </c>
      <c r="D5" s="63">
        <f t="shared" ref="D5:D29" si="1">SUM(C5*1.12)</f>
        <v>19958.400000000001</v>
      </c>
    </row>
    <row r="6" spans="1:4" s="62" customFormat="1" ht="15.75" x14ac:dyDescent="0.25">
      <c r="A6" s="57" t="s">
        <v>62</v>
      </c>
      <c r="B6" s="63">
        <v>14515</v>
      </c>
      <c r="C6" s="63">
        <f t="shared" si="0"/>
        <v>15966.500000000002</v>
      </c>
      <c r="D6" s="63">
        <f t="shared" si="1"/>
        <v>17882.480000000003</v>
      </c>
    </row>
    <row r="7" spans="1:4" s="62" customFormat="1" ht="16.5" thickBot="1" x14ac:dyDescent="0.3">
      <c r="A7" s="57" t="s">
        <v>63</v>
      </c>
      <c r="B7" s="64">
        <v>28800</v>
      </c>
      <c r="C7" s="64">
        <f t="shared" si="0"/>
        <v>31680.000000000004</v>
      </c>
      <c r="D7" s="64">
        <f t="shared" si="1"/>
        <v>35481.600000000006</v>
      </c>
    </row>
    <row r="8" spans="1:4" ht="16.5" thickTop="1" x14ac:dyDescent="0.25">
      <c r="A8" s="44" t="s">
        <v>39</v>
      </c>
      <c r="B8" s="65">
        <f>SUM(B4:B7)</f>
        <v>100015</v>
      </c>
      <c r="C8" s="65">
        <f t="shared" si="0"/>
        <v>110016.50000000001</v>
      </c>
      <c r="D8" s="65">
        <f t="shared" si="1"/>
        <v>123218.48000000003</v>
      </c>
    </row>
    <row r="9" spans="1:4" x14ac:dyDescent="0.2">
      <c r="A9" s="45"/>
      <c r="B9" s="63"/>
      <c r="C9" s="63"/>
      <c r="D9" s="63"/>
    </row>
    <row r="10" spans="1:4" ht="15.75" x14ac:dyDescent="0.25">
      <c r="A10" s="44" t="s">
        <v>40</v>
      </c>
      <c r="B10" s="63"/>
      <c r="C10" s="63"/>
      <c r="D10" s="63"/>
    </row>
    <row r="11" spans="1:4" ht="15.75" thickBot="1" x14ac:dyDescent="0.25">
      <c r="A11" s="57" t="s">
        <v>41</v>
      </c>
      <c r="B11" s="64">
        <v>52138</v>
      </c>
      <c r="C11" s="64">
        <f t="shared" si="0"/>
        <v>57351.8</v>
      </c>
      <c r="D11" s="64">
        <f t="shared" si="1"/>
        <v>64234.016000000011</v>
      </c>
    </row>
    <row r="12" spans="1:4" ht="16.5" thickTop="1" x14ac:dyDescent="0.25">
      <c r="A12" s="44" t="s">
        <v>42</v>
      </c>
      <c r="B12" s="65">
        <f>SUM(B8-B11)</f>
        <v>47877</v>
      </c>
      <c r="C12" s="65">
        <f t="shared" si="0"/>
        <v>52664.700000000004</v>
      </c>
      <c r="D12" s="65">
        <f t="shared" si="1"/>
        <v>58984.464000000007</v>
      </c>
    </row>
    <row r="13" spans="1:4" ht="15.75" x14ac:dyDescent="0.25">
      <c r="A13" s="44"/>
      <c r="B13" s="63"/>
      <c r="C13" s="63"/>
      <c r="D13" s="63"/>
    </row>
    <row r="14" spans="1:4" ht="15.75" x14ac:dyDescent="0.25">
      <c r="A14" s="44" t="s">
        <v>43</v>
      </c>
      <c r="B14" s="63"/>
      <c r="C14" s="63"/>
      <c r="D14" s="63"/>
    </row>
    <row r="15" spans="1:4" x14ac:dyDescent="0.2">
      <c r="A15" s="57" t="s">
        <v>1</v>
      </c>
      <c r="B15" s="63">
        <v>9600</v>
      </c>
      <c r="C15" s="63">
        <f t="shared" si="0"/>
        <v>10560</v>
      </c>
      <c r="D15" s="63">
        <f t="shared" si="1"/>
        <v>11827.2</v>
      </c>
    </row>
    <row r="16" spans="1:4" x14ac:dyDescent="0.2">
      <c r="A16" s="57" t="s">
        <v>2</v>
      </c>
      <c r="B16" s="63">
        <v>2400</v>
      </c>
      <c r="C16" s="63">
        <f t="shared" si="0"/>
        <v>2640</v>
      </c>
      <c r="D16" s="63">
        <f t="shared" si="1"/>
        <v>2956.8</v>
      </c>
    </row>
    <row r="17" spans="1:4" x14ac:dyDescent="0.2">
      <c r="A17" s="57" t="s">
        <v>3</v>
      </c>
      <c r="B17" s="63">
        <v>1200</v>
      </c>
      <c r="C17" s="63">
        <f t="shared" si="0"/>
        <v>1320</v>
      </c>
      <c r="D17" s="63">
        <f t="shared" si="1"/>
        <v>1478.4</v>
      </c>
    </row>
    <row r="18" spans="1:4" x14ac:dyDescent="0.2">
      <c r="A18" s="57" t="s">
        <v>4</v>
      </c>
      <c r="B18" s="63">
        <v>1000</v>
      </c>
      <c r="C18" s="63">
        <f t="shared" si="0"/>
        <v>1100</v>
      </c>
      <c r="D18" s="63">
        <f t="shared" si="1"/>
        <v>1232.0000000000002</v>
      </c>
    </row>
    <row r="19" spans="1:4" x14ac:dyDescent="0.2">
      <c r="A19" s="57" t="s">
        <v>37</v>
      </c>
      <c r="B19" s="63">
        <v>1100</v>
      </c>
      <c r="C19" s="63">
        <f t="shared" si="0"/>
        <v>1210</v>
      </c>
      <c r="D19" s="63">
        <f t="shared" si="1"/>
        <v>1355.2</v>
      </c>
    </row>
    <row r="20" spans="1:4" x14ac:dyDescent="0.2">
      <c r="A20" s="57" t="s">
        <v>36</v>
      </c>
      <c r="B20" s="63">
        <v>2100</v>
      </c>
      <c r="C20" s="63">
        <f t="shared" si="0"/>
        <v>2310</v>
      </c>
      <c r="D20" s="63">
        <f t="shared" si="1"/>
        <v>2587.2000000000003</v>
      </c>
    </row>
    <row r="21" spans="1:4" x14ac:dyDescent="0.2">
      <c r="A21" s="57" t="s">
        <v>5</v>
      </c>
      <c r="B21" s="63">
        <v>12000</v>
      </c>
      <c r="C21" s="63">
        <f t="shared" si="0"/>
        <v>13200.000000000002</v>
      </c>
      <c r="D21" s="63">
        <f t="shared" si="1"/>
        <v>14784.000000000004</v>
      </c>
    </row>
    <row r="22" spans="1:4" x14ac:dyDescent="0.2">
      <c r="A22" s="57" t="s">
        <v>6</v>
      </c>
      <c r="B22" s="63">
        <v>12000</v>
      </c>
      <c r="C22" s="63">
        <f t="shared" si="0"/>
        <v>13200.000000000002</v>
      </c>
      <c r="D22" s="63">
        <f t="shared" si="1"/>
        <v>14784.000000000004</v>
      </c>
    </row>
    <row r="23" spans="1:4" x14ac:dyDescent="0.2">
      <c r="A23" s="57" t="s">
        <v>81</v>
      </c>
      <c r="B23" s="63">
        <v>1750</v>
      </c>
      <c r="C23" s="63">
        <f t="shared" si="0"/>
        <v>1925.0000000000002</v>
      </c>
      <c r="D23" s="63">
        <f t="shared" si="1"/>
        <v>2156.0000000000005</v>
      </c>
    </row>
    <row r="24" spans="1:4" x14ac:dyDescent="0.2">
      <c r="A24" s="57" t="s">
        <v>9</v>
      </c>
      <c r="B24" s="63">
        <v>1000</v>
      </c>
      <c r="C24" s="63">
        <f t="shared" si="0"/>
        <v>1100</v>
      </c>
      <c r="D24" s="63">
        <f t="shared" si="1"/>
        <v>1232.0000000000002</v>
      </c>
    </row>
    <row r="25" spans="1:4" x14ac:dyDescent="0.2">
      <c r="A25" s="57" t="s">
        <v>73</v>
      </c>
      <c r="B25" s="63">
        <v>850</v>
      </c>
      <c r="C25" s="63">
        <f t="shared" si="0"/>
        <v>935.00000000000011</v>
      </c>
      <c r="D25" s="63">
        <f t="shared" si="1"/>
        <v>1047.2000000000003</v>
      </c>
    </row>
    <row r="26" spans="1:4" ht="15.75" thickBot="1" x14ac:dyDescent="0.25">
      <c r="A26" s="57" t="s">
        <v>82</v>
      </c>
      <c r="B26" s="64">
        <v>900</v>
      </c>
      <c r="C26" s="64">
        <f t="shared" si="0"/>
        <v>990.00000000000011</v>
      </c>
      <c r="D26" s="64">
        <f t="shared" si="1"/>
        <v>1108.8000000000002</v>
      </c>
    </row>
    <row r="27" spans="1:4" ht="16.5" thickTop="1" x14ac:dyDescent="0.25">
      <c r="A27" s="44" t="s">
        <v>44</v>
      </c>
      <c r="B27" s="65">
        <f>SUM(B15:B26)</f>
        <v>45900</v>
      </c>
      <c r="C27" s="65">
        <f t="shared" si="0"/>
        <v>50490.000000000007</v>
      </c>
      <c r="D27" s="65">
        <f t="shared" si="1"/>
        <v>56548.80000000001</v>
      </c>
    </row>
    <row r="28" spans="1:4" ht="15.75" x14ac:dyDescent="0.25">
      <c r="A28" s="44"/>
      <c r="B28" s="63"/>
      <c r="C28" s="63"/>
      <c r="D28" s="63"/>
    </row>
    <row r="29" spans="1:4" ht="15.75" x14ac:dyDescent="0.25">
      <c r="A29" s="44" t="s">
        <v>45</v>
      </c>
      <c r="B29" s="65">
        <f>SUM(B12-B27)</f>
        <v>1977</v>
      </c>
      <c r="C29" s="65">
        <f t="shared" si="0"/>
        <v>2174.7000000000003</v>
      </c>
      <c r="D29" s="65">
        <f t="shared" si="1"/>
        <v>2435.6640000000007</v>
      </c>
    </row>
  </sheetData>
  <mergeCells count="1">
    <mergeCell ref="A1:D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C7" sqref="C7"/>
    </sheetView>
  </sheetViews>
  <sheetFormatPr defaultRowHeight="15" x14ac:dyDescent="0.2"/>
  <cols>
    <col min="1" max="1" width="45.85546875" style="67" customWidth="1"/>
    <col min="2" max="2" width="14.28515625" style="59" bestFit="1" customWidth="1"/>
    <col min="3" max="4" width="12.85546875" style="59" bestFit="1" customWidth="1"/>
    <col min="5" max="12" width="9.140625" style="59"/>
  </cols>
  <sheetData>
    <row r="1" spans="1:6" ht="18" x14ac:dyDescent="0.25">
      <c r="A1" s="177" t="s">
        <v>94</v>
      </c>
      <c r="B1" s="177"/>
      <c r="C1" s="177"/>
      <c r="D1" s="177"/>
      <c r="E1" s="177"/>
      <c r="F1" s="177"/>
    </row>
    <row r="2" spans="1:6" x14ac:dyDescent="0.2">
      <c r="B2" s="69">
        <v>2012</v>
      </c>
      <c r="C2" s="69">
        <v>2013</v>
      </c>
      <c r="D2" s="69">
        <v>2014</v>
      </c>
    </row>
    <row r="3" spans="1:6" ht="15.75" x14ac:dyDescent="0.25">
      <c r="A3" s="68" t="s">
        <v>83</v>
      </c>
    </row>
    <row r="4" spans="1:6" x14ac:dyDescent="0.2">
      <c r="A4" s="66" t="s">
        <v>98</v>
      </c>
      <c r="B4" s="70">
        <v>2300</v>
      </c>
      <c r="C4" s="74">
        <f>SUM(B4*0.9)</f>
        <v>2070</v>
      </c>
      <c r="D4" s="63">
        <f>SUM(C4*1.1)</f>
        <v>2277</v>
      </c>
    </row>
    <row r="5" spans="1:6" x14ac:dyDescent="0.2">
      <c r="A5" s="66" t="s">
        <v>90</v>
      </c>
      <c r="B5" s="63">
        <v>4500</v>
      </c>
      <c r="C5" s="74">
        <f>SUM(B5*1.12)</f>
        <v>5040.0000000000009</v>
      </c>
      <c r="D5" s="63">
        <f>SUM(C5*1.05)</f>
        <v>5292.0000000000009</v>
      </c>
    </row>
    <row r="6" spans="1:6" ht="15.75" thickBot="1" x14ac:dyDescent="0.25">
      <c r="A6" s="66" t="s">
        <v>102</v>
      </c>
      <c r="B6" s="73">
        <v>2800</v>
      </c>
      <c r="C6" s="75">
        <f>SUM(B6*1.3)</f>
        <v>3640</v>
      </c>
      <c r="D6" s="73">
        <f>SUM(C6*1.03)</f>
        <v>3749.2000000000003</v>
      </c>
    </row>
    <row r="7" spans="1:6" ht="15.75" x14ac:dyDescent="0.25">
      <c r="A7" s="68" t="s">
        <v>84</v>
      </c>
      <c r="B7" s="65">
        <f>SUM($B$4:$B$6)</f>
        <v>9600</v>
      </c>
      <c r="C7" s="65">
        <f>SUM($C$4:$C$6)</f>
        <v>10750</v>
      </c>
      <c r="D7" s="65">
        <f>SUM(D4:D6)</f>
        <v>11318.2</v>
      </c>
    </row>
    <row r="8" spans="1:6" x14ac:dyDescent="0.2">
      <c r="A8" s="66" t="s">
        <v>97</v>
      </c>
      <c r="B8" s="63">
        <v>2495</v>
      </c>
      <c r="C8" s="63">
        <v>3495</v>
      </c>
      <c r="D8" s="63">
        <v>3495</v>
      </c>
    </row>
    <row r="9" spans="1:6" ht="15.75" thickBot="1" x14ac:dyDescent="0.25">
      <c r="A9" s="66" t="s">
        <v>85</v>
      </c>
      <c r="B9" s="73">
        <v>3061</v>
      </c>
      <c r="C9" s="73">
        <v>3061</v>
      </c>
      <c r="D9" s="73">
        <v>3561</v>
      </c>
    </row>
    <row r="10" spans="1:6" ht="15.75" x14ac:dyDescent="0.25">
      <c r="A10" s="68" t="s">
        <v>92</v>
      </c>
      <c r="B10" s="65">
        <f>SUM($B$8:$B$9)</f>
        <v>5556</v>
      </c>
      <c r="C10" s="65">
        <f>SUM($C$8:$C$9)</f>
        <v>6556</v>
      </c>
      <c r="D10" s="65">
        <f>SUM(D8:D9)</f>
        <v>7056</v>
      </c>
    </row>
    <row r="11" spans="1:6" ht="16.5" thickBot="1" x14ac:dyDescent="0.3">
      <c r="A11" s="68" t="s">
        <v>91</v>
      </c>
      <c r="B11" s="72">
        <f>SUM($B$7+$B$10)</f>
        <v>15156</v>
      </c>
      <c r="C11" s="72">
        <f>SUM($C$7+$C$10)</f>
        <v>17306</v>
      </c>
      <c r="D11" s="72">
        <f>SUM(D7+D10)</f>
        <v>18374.2</v>
      </c>
    </row>
    <row r="12" spans="1:6" ht="16.5" thickTop="1" x14ac:dyDescent="0.25">
      <c r="A12" s="68"/>
      <c r="B12" s="65"/>
      <c r="C12" s="74"/>
      <c r="D12" s="63"/>
    </row>
    <row r="13" spans="1:6" ht="15.75" x14ac:dyDescent="0.25">
      <c r="A13" s="68" t="s">
        <v>86</v>
      </c>
      <c r="B13" s="63"/>
      <c r="C13" s="74"/>
      <c r="D13" s="63"/>
    </row>
    <row r="14" spans="1:6" x14ac:dyDescent="0.2">
      <c r="A14" s="66" t="s">
        <v>87</v>
      </c>
      <c r="B14" s="63">
        <v>1033</v>
      </c>
      <c r="C14" s="74">
        <f>SUM(B14*1.15)</f>
        <v>1187.9499999999998</v>
      </c>
      <c r="D14" s="63">
        <f>SUM(C14*1.11)</f>
        <v>1318.6244999999999</v>
      </c>
    </row>
    <row r="15" spans="1:6" x14ac:dyDescent="0.2">
      <c r="A15" s="66" t="s">
        <v>99</v>
      </c>
      <c r="B15" s="63">
        <v>662</v>
      </c>
      <c r="C15" s="74">
        <v>1662</v>
      </c>
      <c r="D15" s="63">
        <f>SUM(C15*1.1)</f>
        <v>1828.2</v>
      </c>
    </row>
    <row r="16" spans="1:6" ht="15.75" thickBot="1" x14ac:dyDescent="0.25">
      <c r="A16" s="66" t="s">
        <v>100</v>
      </c>
      <c r="B16" s="73">
        <v>1630</v>
      </c>
      <c r="C16" s="75">
        <f>SUM(B16*0.98)</f>
        <v>1597.3999999999999</v>
      </c>
      <c r="D16" s="73">
        <f>SUM(C16*1.01)</f>
        <v>1613.3739999999998</v>
      </c>
    </row>
    <row r="17" spans="1:4" ht="15.75" x14ac:dyDescent="0.25">
      <c r="A17" s="68" t="s">
        <v>88</v>
      </c>
      <c r="B17" s="71">
        <f>SUM($B$14:$B$16)</f>
        <v>3325</v>
      </c>
      <c r="C17" s="71">
        <f>SUM($C$14:$C$16)</f>
        <v>4447.3499999999995</v>
      </c>
      <c r="D17" s="65">
        <f>SUM($D$14:$D$16)</f>
        <v>4760.1984999999995</v>
      </c>
    </row>
    <row r="18" spans="1:4" ht="15.75" thickBot="1" x14ac:dyDescent="0.25">
      <c r="A18" s="66" t="s">
        <v>101</v>
      </c>
      <c r="B18" s="73">
        <v>10000</v>
      </c>
      <c r="C18" s="73">
        <f>SUM(B18*0.98)</f>
        <v>9800</v>
      </c>
      <c r="D18" s="73">
        <f>SUM(C18*0.98)</f>
        <v>9604</v>
      </c>
    </row>
    <row r="19" spans="1:4" ht="15.75" x14ac:dyDescent="0.25">
      <c r="A19" s="68" t="s">
        <v>89</v>
      </c>
      <c r="B19" s="71">
        <f>SUM(B18:B18)</f>
        <v>10000</v>
      </c>
      <c r="C19" s="76">
        <f>SUM(C18)</f>
        <v>9800</v>
      </c>
      <c r="D19" s="65">
        <f>SUM(D18)</f>
        <v>9604</v>
      </c>
    </row>
    <row r="20" spans="1:4" ht="16.5" thickBot="1" x14ac:dyDescent="0.3">
      <c r="A20" s="68" t="s">
        <v>93</v>
      </c>
      <c r="B20" s="72">
        <f>SUM($B$17+$B$19)</f>
        <v>13325</v>
      </c>
      <c r="C20" s="77">
        <f>SUM($C$17+$C$19)</f>
        <v>14247.349999999999</v>
      </c>
      <c r="D20" s="72">
        <f>SUM($D$17+$D$19)</f>
        <v>14364.198499999999</v>
      </c>
    </row>
    <row r="21" spans="1:4" ht="15.75" thickTop="1" x14ac:dyDescent="0.2">
      <c r="B21" s="63"/>
      <c r="C21" s="74"/>
      <c r="D21" s="63"/>
    </row>
    <row r="22" spans="1:4" ht="16.5" thickBot="1" x14ac:dyDescent="0.3">
      <c r="A22" s="68" t="s">
        <v>95</v>
      </c>
      <c r="B22" s="72">
        <f>($B$11-$B$20)</f>
        <v>1831</v>
      </c>
      <c r="C22" s="77">
        <f>SUM($C$11-$C$20)</f>
        <v>3058.6500000000015</v>
      </c>
      <c r="D22" s="77">
        <f>SUM($D$11-$D$20)</f>
        <v>4010.0015000000021</v>
      </c>
    </row>
    <row r="23" spans="1:4" ht="15.75" thickTop="1" x14ac:dyDescent="0.2">
      <c r="B23" s="63"/>
      <c r="C23" s="74"/>
      <c r="D23" s="63"/>
    </row>
    <row r="24" spans="1:4" ht="15.75" x14ac:dyDescent="0.25">
      <c r="A24" s="68" t="s">
        <v>96</v>
      </c>
      <c r="B24" s="65">
        <f>SUM($B$20+$B$22)</f>
        <v>15156</v>
      </c>
      <c r="C24" s="65">
        <f>SUM($C$20+$C$22)</f>
        <v>17306</v>
      </c>
      <c r="D24" s="65">
        <f>SUM($D$20+$D$22)</f>
        <v>18374.2</v>
      </c>
    </row>
    <row r="27" spans="1:4" x14ac:dyDescent="0.2">
      <c r="A27" s="67" t="s">
        <v>103</v>
      </c>
    </row>
  </sheetData>
  <mergeCells count="1">
    <mergeCell ref="A1:F1"/>
  </mergeCells>
  <pageMargins left="0.7" right="0.7" top="0.75" bottom="0.75" header="0.3" footer="0.3"/>
  <ignoredErrors>
    <ignoredError sqref="C1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I22" sqref="I22"/>
    </sheetView>
  </sheetViews>
  <sheetFormatPr defaultRowHeight="14.25" x14ac:dyDescent="0.2"/>
  <cols>
    <col min="1" max="1" width="9.140625" style="89"/>
    <col min="2" max="2" width="11" style="89" bestFit="1" customWidth="1"/>
    <col min="3" max="3" width="11.7109375" style="89" bestFit="1" customWidth="1"/>
    <col min="4" max="5" width="11.5703125" style="89" bestFit="1" customWidth="1"/>
    <col min="6" max="18" width="9.140625" style="89"/>
  </cols>
  <sheetData>
    <row r="1" spans="1:6" ht="15" x14ac:dyDescent="0.25">
      <c r="A1" s="173" t="s">
        <v>142</v>
      </c>
      <c r="B1" s="172"/>
      <c r="C1" s="172"/>
      <c r="D1" s="172"/>
      <c r="E1" s="172"/>
      <c r="F1" s="172"/>
    </row>
    <row r="3" spans="1:6" x14ac:dyDescent="0.2">
      <c r="A3" s="172" t="s">
        <v>139</v>
      </c>
      <c r="B3" s="172"/>
      <c r="C3" s="172"/>
      <c r="D3" s="172"/>
      <c r="E3" s="172"/>
    </row>
    <row r="4" spans="1:6" ht="15" thickBot="1" x14ac:dyDescent="0.25">
      <c r="A4" s="135"/>
      <c r="B4" s="110" t="s">
        <v>83</v>
      </c>
      <c r="C4" s="110" t="s">
        <v>143</v>
      </c>
      <c r="D4" s="110" t="s">
        <v>144</v>
      </c>
      <c r="E4" s="135"/>
    </row>
    <row r="5" spans="1:6" ht="16.5" thickTop="1" x14ac:dyDescent="0.25">
      <c r="A5" s="89">
        <v>2012</v>
      </c>
      <c r="B5" s="63">
        <v>9600</v>
      </c>
      <c r="C5" s="156">
        <v>3325</v>
      </c>
      <c r="D5" s="230">
        <f>SUM(B5/C5)</f>
        <v>2.8872180451127818</v>
      </c>
    </row>
    <row r="6" spans="1:6" ht="15.75" x14ac:dyDescent="0.25">
      <c r="A6" s="89">
        <v>2013</v>
      </c>
      <c r="B6" s="63">
        <v>10750</v>
      </c>
      <c r="C6" s="156">
        <v>4447</v>
      </c>
      <c r="D6" s="230">
        <f t="shared" ref="D6:D7" si="0">SUM(B6/C6)</f>
        <v>2.4173600179896559</v>
      </c>
    </row>
    <row r="7" spans="1:6" ht="15.75" x14ac:dyDescent="0.25">
      <c r="A7" s="89">
        <v>2014</v>
      </c>
      <c r="B7" s="156">
        <v>11318</v>
      </c>
      <c r="C7" s="156">
        <v>4760</v>
      </c>
      <c r="D7" s="230">
        <f t="shared" si="0"/>
        <v>2.3777310924369748</v>
      </c>
    </row>
    <row r="10" spans="1:6" x14ac:dyDescent="0.2">
      <c r="A10" s="172" t="s">
        <v>140</v>
      </c>
      <c r="B10" s="172"/>
      <c r="C10" s="172"/>
      <c r="D10" s="172"/>
      <c r="E10" s="172"/>
    </row>
    <row r="11" spans="1:6" ht="29.25" thickBot="1" x14ac:dyDescent="0.25">
      <c r="A11" s="135"/>
      <c r="B11" s="110" t="s">
        <v>145</v>
      </c>
      <c r="C11" s="151" t="s">
        <v>147</v>
      </c>
      <c r="D11" s="151" t="s">
        <v>146</v>
      </c>
      <c r="E11" s="110" t="s">
        <v>143</v>
      </c>
      <c r="F11" s="110" t="s">
        <v>144</v>
      </c>
    </row>
    <row r="12" spans="1:6" ht="15.75" thickTop="1" x14ac:dyDescent="0.25">
      <c r="A12" s="89">
        <v>2012</v>
      </c>
      <c r="B12" s="156">
        <v>2300</v>
      </c>
      <c r="C12" s="156">
        <v>0</v>
      </c>
      <c r="D12" s="156">
        <v>4500</v>
      </c>
      <c r="E12" s="156">
        <v>3325</v>
      </c>
      <c r="F12" s="233">
        <f>SUM(B12:D12)/E12</f>
        <v>2.0451127819548871</v>
      </c>
    </row>
    <row r="13" spans="1:6" ht="15" x14ac:dyDescent="0.25">
      <c r="A13" s="89">
        <v>2013</v>
      </c>
      <c r="B13" s="156">
        <v>2070</v>
      </c>
      <c r="C13" s="156">
        <v>0</v>
      </c>
      <c r="D13" s="156">
        <v>5040</v>
      </c>
      <c r="E13" s="156">
        <v>4447</v>
      </c>
      <c r="F13" s="233">
        <f t="shared" ref="F13:F14" si="1">SUM(B13:D13)/E13</f>
        <v>1.5988306723633912</v>
      </c>
    </row>
    <row r="14" spans="1:6" ht="15" x14ac:dyDescent="0.25">
      <c r="A14" s="89">
        <v>2014</v>
      </c>
      <c r="B14" s="156">
        <v>2277</v>
      </c>
      <c r="C14" s="156">
        <v>0</v>
      </c>
      <c r="D14" s="156">
        <v>5292</v>
      </c>
      <c r="E14" s="156">
        <v>4760</v>
      </c>
      <c r="F14" s="233">
        <f t="shared" si="1"/>
        <v>1.590126050420168</v>
      </c>
    </row>
    <row r="16" spans="1:6" x14ac:dyDescent="0.2">
      <c r="A16" s="231" t="s">
        <v>141</v>
      </c>
      <c r="B16" s="231"/>
      <c r="C16" s="231"/>
      <c r="D16" s="231"/>
      <c r="E16" s="231"/>
    </row>
    <row r="17" spans="1:6" ht="30" customHeight="1" thickBot="1" x14ac:dyDescent="0.25">
      <c r="A17" s="136"/>
      <c r="B17" s="110" t="s">
        <v>18</v>
      </c>
      <c r="C17" s="151" t="s">
        <v>148</v>
      </c>
      <c r="D17" s="151" t="s">
        <v>149</v>
      </c>
      <c r="E17" s="151" t="s">
        <v>150</v>
      </c>
      <c r="F17" s="110" t="s">
        <v>144</v>
      </c>
    </row>
    <row r="18" spans="1:6" ht="15.75" thickTop="1" x14ac:dyDescent="0.25">
      <c r="A18" s="89">
        <v>2012</v>
      </c>
      <c r="B18" s="156">
        <v>52138</v>
      </c>
      <c r="C18" s="156">
        <v>2300</v>
      </c>
      <c r="D18" s="156">
        <v>2800</v>
      </c>
      <c r="E18" s="156">
        <f>SUM(C18:D18)/2</f>
        <v>2550</v>
      </c>
      <c r="F18" s="232">
        <f>SUM(B18/E18)</f>
        <v>20.446274509803921</v>
      </c>
    </row>
    <row r="19" spans="1:6" ht="15" x14ac:dyDescent="0.25">
      <c r="A19" s="89">
        <v>2013</v>
      </c>
      <c r="B19" s="156">
        <v>57352</v>
      </c>
      <c r="C19" s="156">
        <v>2800</v>
      </c>
      <c r="D19" s="156">
        <v>3640</v>
      </c>
      <c r="E19" s="156">
        <f t="shared" ref="E19:E20" si="2">SUM(C19:D19)/2</f>
        <v>3220</v>
      </c>
      <c r="F19" s="232">
        <f t="shared" ref="F19:F20" si="3">SUM(B19/E19)</f>
        <v>17.811180124223604</v>
      </c>
    </row>
    <row r="20" spans="1:6" ht="15" x14ac:dyDescent="0.25">
      <c r="A20" s="89">
        <v>2014</v>
      </c>
      <c r="B20" s="156">
        <v>64234</v>
      </c>
      <c r="C20" s="156">
        <v>3640</v>
      </c>
      <c r="D20" s="156">
        <v>3749</v>
      </c>
      <c r="E20" s="156">
        <f t="shared" si="2"/>
        <v>3694.5</v>
      </c>
      <c r="F20" s="232">
        <f t="shared" si="3"/>
        <v>17.386385167140343</v>
      </c>
    </row>
  </sheetData>
  <mergeCells count="4">
    <mergeCell ref="A1:F1"/>
    <mergeCell ref="A3:E3"/>
    <mergeCell ref="A10:E10"/>
    <mergeCell ref="A16:E16"/>
  </mergeCells>
  <pageMargins left="0.7" right="0.7" top="0.75" bottom="0.75" header="0.3" footer="0.3"/>
  <ignoredErrors>
    <ignoredError sqref="E18:E20"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Instructor Notes </vt:lpstr>
      <vt:lpstr>2.1 Supply &amp; Demand</vt:lpstr>
      <vt:lpstr>2.1 Charts</vt:lpstr>
      <vt:lpstr>2.1 Revised Break Even (S&amp;D) </vt:lpstr>
      <vt:lpstr>2.1 Change in Income (S&amp;D)</vt:lpstr>
      <vt:lpstr>12.3 Outsourcing Costs</vt:lpstr>
      <vt:lpstr>15.1 Break Even Analysis I </vt:lpstr>
      <vt:lpstr>15.1 Break Even Analysis II</vt:lpstr>
      <vt:lpstr>15.2 Income Projections</vt:lpstr>
      <vt:lpstr>15.3 Historical Figures  </vt:lpstr>
      <vt:lpstr>15.3 BE at New Location</vt:lpstr>
      <vt:lpstr>15.3 "What If" Scenarios</vt:lpstr>
      <vt:lpstr>15.4 Income Statement</vt:lpstr>
      <vt:lpstr>15.4 Balance Sheet</vt:lpstr>
      <vt:lpstr>15.4 Ratios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2015-06-21T16:11:37Z</dcterms:created>
  <dcterms:modified xsi:type="dcterms:W3CDTF">2015-07-18T17:02:34Z</dcterms:modified>
</cp:coreProperties>
</file>